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T308766\Desktop\Research\trellis\2015 measurements\"/>
    </mc:Choice>
  </mc:AlternateContent>
  <bookViews>
    <workbookView xWindow="0" yWindow="0" windowWidth="12945" windowHeight="4020" tabRatio="660"/>
  </bookViews>
  <sheets>
    <sheet name="Instructions" sheetId="6" r:id="rId1"/>
    <sheet name="User input &amp; design output" sheetId="1" r:id="rId2"/>
    <sheet name="Trellis cost comparison" sheetId="3" r:id="rId3"/>
    <sheet name="Supplies price list" sheetId="4" r:id="rId4"/>
    <sheet name="Strength analysis calculations" sheetId="5" r:id="rId5"/>
  </sheets>
  <definedNames>
    <definedName name="TreeStabilizerType">'Supplies price list'!$B$10:$B$13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4" l="1"/>
  <c r="C5" i="4"/>
  <c r="C4" i="4"/>
  <c r="C3" i="4"/>
  <c r="C46" i="5" l="1"/>
  <c r="C36" i="5"/>
  <c r="C35" i="5"/>
  <c r="J6" i="5" l="1"/>
  <c r="K6" i="5"/>
  <c r="L6" i="5" s="1"/>
  <c r="J7" i="5"/>
  <c r="K7" i="5"/>
  <c r="L7" i="5" s="1"/>
  <c r="J8" i="5"/>
  <c r="K8" i="5"/>
  <c r="L8" i="5" s="1"/>
  <c r="J9" i="5"/>
  <c r="K9" i="5"/>
  <c r="L9" i="5" s="1"/>
  <c r="J10" i="5"/>
  <c r="K10" i="5"/>
  <c r="L10" i="5" s="1"/>
  <c r="J11" i="5"/>
  <c r="K11" i="5"/>
  <c r="L11" i="5" s="1"/>
  <c r="J12" i="5"/>
  <c r="K12" i="5"/>
  <c r="L12" i="5" s="1"/>
  <c r="J13" i="5"/>
  <c r="K13" i="5"/>
  <c r="L13" i="5" s="1"/>
  <c r="J14" i="5"/>
  <c r="K14" i="5"/>
  <c r="L14" i="5" s="1"/>
  <c r="J15" i="5"/>
  <c r="K15" i="5"/>
  <c r="L15" i="5" s="1"/>
  <c r="J16" i="5"/>
  <c r="K16" i="5"/>
  <c r="L16" i="5" s="1"/>
  <c r="J17" i="5"/>
  <c r="K17" i="5"/>
  <c r="L17" i="5" s="1"/>
  <c r="J18" i="5"/>
  <c r="K18" i="5"/>
  <c r="L18" i="5" s="1"/>
  <c r="J19" i="5"/>
  <c r="K19" i="5"/>
  <c r="L19" i="5" s="1"/>
  <c r="J20" i="5"/>
  <c r="K20" i="5"/>
  <c r="L20" i="5" s="1"/>
  <c r="J21" i="5"/>
  <c r="K21" i="5"/>
  <c r="L21" i="5" s="1"/>
  <c r="J22" i="5"/>
  <c r="K22" i="5"/>
  <c r="L22" i="5" s="1"/>
  <c r="J23" i="5"/>
  <c r="K23" i="5"/>
  <c r="L23" i="5" s="1"/>
  <c r="J24" i="5"/>
  <c r="K24" i="5"/>
  <c r="L24" i="5" s="1"/>
  <c r="J25" i="5"/>
  <c r="K25" i="5"/>
  <c r="L25" i="5" s="1"/>
  <c r="J26" i="5"/>
  <c r="K26" i="5"/>
  <c r="L26" i="5" s="1"/>
  <c r="J27" i="5"/>
  <c r="K27" i="5"/>
  <c r="L27" i="5" s="1"/>
  <c r="J28" i="5"/>
  <c r="K28" i="5"/>
  <c r="L28" i="5" s="1"/>
  <c r="J29" i="5"/>
  <c r="K29" i="5"/>
  <c r="L29" i="5" s="1"/>
  <c r="J30" i="5"/>
  <c r="K30" i="5"/>
  <c r="L30" i="5" s="1"/>
  <c r="J31" i="5"/>
  <c r="K31" i="5"/>
  <c r="L31" i="5" s="1"/>
  <c r="J32" i="5"/>
  <c r="K32" i="5"/>
  <c r="L32" i="5" s="1"/>
  <c r="J33" i="5"/>
  <c r="K33" i="5"/>
  <c r="L33" i="5" s="1"/>
  <c r="J34" i="5"/>
  <c r="K34" i="5"/>
  <c r="L34" i="5" s="1"/>
  <c r="J35" i="5"/>
  <c r="K35" i="5"/>
  <c r="L35" i="5" s="1"/>
  <c r="J36" i="5"/>
  <c r="K36" i="5"/>
  <c r="L36" i="5" s="1"/>
  <c r="J37" i="5"/>
  <c r="K37" i="5"/>
  <c r="L37" i="5" s="1"/>
  <c r="J38" i="5"/>
  <c r="K38" i="5"/>
  <c r="L38" i="5" s="1"/>
  <c r="J39" i="5"/>
  <c r="K39" i="5"/>
  <c r="L39" i="5" s="1"/>
  <c r="J40" i="5"/>
  <c r="K40" i="5"/>
  <c r="L40" i="5" s="1"/>
  <c r="J41" i="5"/>
  <c r="K41" i="5"/>
  <c r="L41" i="5" s="1"/>
  <c r="J42" i="5"/>
  <c r="K42" i="5"/>
  <c r="L42" i="5" s="1"/>
  <c r="J43" i="5"/>
  <c r="K43" i="5"/>
  <c r="L43" i="5" s="1"/>
  <c r="J44" i="5"/>
  <c r="K44" i="5"/>
  <c r="L44" i="5" s="1"/>
  <c r="J45" i="5"/>
  <c r="K45" i="5"/>
  <c r="L45" i="5" s="1"/>
  <c r="J46" i="5"/>
  <c r="K46" i="5"/>
  <c r="L46" i="5" s="1"/>
  <c r="J47" i="5"/>
  <c r="K47" i="5"/>
  <c r="L47" i="5" s="1"/>
  <c r="J48" i="5"/>
  <c r="K48" i="5"/>
  <c r="L48" i="5" s="1"/>
  <c r="J49" i="5"/>
  <c r="K49" i="5"/>
  <c r="L49" i="5" s="1"/>
  <c r="J50" i="5"/>
  <c r="K50" i="5"/>
  <c r="L50" i="5" s="1"/>
  <c r="J51" i="5"/>
  <c r="K51" i="5"/>
  <c r="L51" i="5" s="1"/>
  <c r="J52" i="5"/>
  <c r="K52" i="5"/>
  <c r="L52" i="5" s="1"/>
  <c r="J53" i="5"/>
  <c r="K53" i="5"/>
  <c r="L53" i="5" s="1"/>
  <c r="J54" i="5"/>
  <c r="K54" i="5"/>
  <c r="L54" i="5" s="1"/>
  <c r="J55" i="5"/>
  <c r="K55" i="5"/>
  <c r="L55" i="5" s="1"/>
  <c r="J56" i="5"/>
  <c r="K56" i="5"/>
  <c r="L56" i="5" s="1"/>
  <c r="J57" i="5"/>
  <c r="K57" i="5"/>
  <c r="L57" i="5" s="1"/>
  <c r="J58" i="5"/>
  <c r="K58" i="5"/>
  <c r="L58" i="5" s="1"/>
  <c r="J59" i="5"/>
  <c r="K59" i="5"/>
  <c r="L59" i="5" s="1"/>
  <c r="J60" i="5"/>
  <c r="K60" i="5"/>
  <c r="L60" i="5" s="1"/>
  <c r="J61" i="5"/>
  <c r="K61" i="5"/>
  <c r="L61" i="5" s="1"/>
  <c r="J62" i="5"/>
  <c r="K62" i="5"/>
  <c r="L62" i="5" s="1"/>
  <c r="J63" i="5"/>
  <c r="K63" i="5"/>
  <c r="L63" i="5" s="1"/>
  <c r="J64" i="5"/>
  <c r="K64" i="5"/>
  <c r="L64" i="5" s="1"/>
  <c r="J65" i="5"/>
  <c r="K65" i="5"/>
  <c r="L65" i="5" s="1"/>
  <c r="J66" i="5"/>
  <c r="K66" i="5"/>
  <c r="L66" i="5" s="1"/>
  <c r="J67" i="5"/>
  <c r="K67" i="5"/>
  <c r="L67" i="5" s="1"/>
  <c r="J68" i="5"/>
  <c r="K68" i="5"/>
  <c r="L68" i="5" s="1"/>
  <c r="J69" i="5"/>
  <c r="K69" i="5"/>
  <c r="L69" i="5" s="1"/>
  <c r="J70" i="5"/>
  <c r="K70" i="5"/>
  <c r="L70" i="5" s="1"/>
  <c r="J71" i="5"/>
  <c r="K71" i="5"/>
  <c r="L71" i="5" s="1"/>
  <c r="J72" i="5"/>
  <c r="K72" i="5"/>
  <c r="L72" i="5" s="1"/>
  <c r="J73" i="5"/>
  <c r="K73" i="5"/>
  <c r="L73" i="5" s="1"/>
  <c r="J74" i="5"/>
  <c r="K74" i="5"/>
  <c r="L74" i="5" s="1"/>
  <c r="J75" i="5"/>
  <c r="K75" i="5"/>
  <c r="L75" i="5" s="1"/>
  <c r="J76" i="5"/>
  <c r="K76" i="5"/>
  <c r="L76" i="5" s="1"/>
  <c r="J77" i="5"/>
  <c r="K77" i="5"/>
  <c r="L77" i="5" s="1"/>
  <c r="J78" i="5"/>
  <c r="K78" i="5"/>
  <c r="L78" i="5" s="1"/>
  <c r="J79" i="5"/>
  <c r="K79" i="5"/>
  <c r="L79" i="5" s="1"/>
  <c r="J80" i="5"/>
  <c r="K80" i="5"/>
  <c r="L80" i="5" s="1"/>
  <c r="J81" i="5"/>
  <c r="K81" i="5"/>
  <c r="L81" i="5" s="1"/>
  <c r="J82" i="5"/>
  <c r="K82" i="5"/>
  <c r="L82" i="5" s="1"/>
  <c r="J83" i="5"/>
  <c r="K83" i="5"/>
  <c r="L83" i="5" s="1"/>
  <c r="J84" i="5"/>
  <c r="K84" i="5"/>
  <c r="L84" i="5" s="1"/>
  <c r="J85" i="5"/>
  <c r="K85" i="5"/>
  <c r="L85" i="5" s="1"/>
  <c r="J86" i="5"/>
  <c r="K86" i="5"/>
  <c r="L86" i="5" s="1"/>
  <c r="J87" i="5"/>
  <c r="K87" i="5"/>
  <c r="L87" i="5" s="1"/>
  <c r="J88" i="5"/>
  <c r="K88" i="5"/>
  <c r="L88" i="5" s="1"/>
  <c r="J89" i="5"/>
  <c r="K89" i="5"/>
  <c r="L89" i="5" s="1"/>
  <c r="J90" i="5"/>
  <c r="K90" i="5"/>
  <c r="L90" i="5" s="1"/>
  <c r="J91" i="5"/>
  <c r="K91" i="5"/>
  <c r="L91" i="5" s="1"/>
  <c r="J92" i="5"/>
  <c r="K92" i="5"/>
  <c r="L92" i="5" s="1"/>
  <c r="J93" i="5"/>
  <c r="K93" i="5"/>
  <c r="L93" i="5" s="1"/>
  <c r="J94" i="5"/>
  <c r="K94" i="5"/>
  <c r="L94" i="5" s="1"/>
  <c r="J95" i="5"/>
  <c r="K95" i="5"/>
  <c r="L95" i="5" s="1"/>
  <c r="J96" i="5"/>
  <c r="K96" i="5"/>
  <c r="L96" i="5" s="1"/>
  <c r="J97" i="5"/>
  <c r="K97" i="5"/>
  <c r="L97" i="5" s="1"/>
  <c r="J98" i="5"/>
  <c r="K98" i="5"/>
  <c r="L98" i="5" s="1"/>
  <c r="J99" i="5"/>
  <c r="K99" i="5"/>
  <c r="L99" i="5" s="1"/>
  <c r="J100" i="5"/>
  <c r="K100" i="5"/>
  <c r="L100" i="5" s="1"/>
  <c r="J101" i="5"/>
  <c r="K101" i="5"/>
  <c r="L101" i="5" s="1"/>
  <c r="J102" i="5"/>
  <c r="K102" i="5"/>
  <c r="L102" i="5" s="1"/>
  <c r="J103" i="5"/>
  <c r="K103" i="5"/>
  <c r="L103" i="5" s="1"/>
  <c r="J104" i="5"/>
  <c r="K104" i="5"/>
  <c r="L104" i="5" s="1"/>
  <c r="J105" i="5"/>
  <c r="K105" i="5"/>
  <c r="L105" i="5" s="1"/>
  <c r="J106" i="5"/>
  <c r="K106" i="5"/>
  <c r="L106" i="5" s="1"/>
  <c r="J107" i="5"/>
  <c r="K107" i="5"/>
  <c r="L107" i="5" s="1"/>
  <c r="J108" i="5"/>
  <c r="K108" i="5"/>
  <c r="L108" i="5" s="1"/>
  <c r="J109" i="5"/>
  <c r="K109" i="5"/>
  <c r="L109" i="5" s="1"/>
  <c r="J110" i="5"/>
  <c r="K110" i="5"/>
  <c r="L110" i="5" s="1"/>
  <c r="J111" i="5"/>
  <c r="K111" i="5"/>
  <c r="L111" i="5" s="1"/>
  <c r="J112" i="5"/>
  <c r="K112" i="5"/>
  <c r="L112" i="5" s="1"/>
  <c r="J113" i="5"/>
  <c r="K113" i="5"/>
  <c r="L113" i="5" s="1"/>
  <c r="J114" i="5"/>
  <c r="K114" i="5"/>
  <c r="L114" i="5" s="1"/>
  <c r="J115" i="5"/>
  <c r="K115" i="5"/>
  <c r="L115" i="5" s="1"/>
  <c r="J116" i="5"/>
  <c r="K116" i="5"/>
  <c r="L116" i="5" s="1"/>
  <c r="J117" i="5"/>
  <c r="K117" i="5"/>
  <c r="L117" i="5" s="1"/>
  <c r="J118" i="5"/>
  <c r="K118" i="5"/>
  <c r="L118" i="5" s="1"/>
  <c r="J119" i="5"/>
  <c r="K119" i="5"/>
  <c r="L119" i="5" s="1"/>
  <c r="J120" i="5"/>
  <c r="K120" i="5"/>
  <c r="L120" i="5" s="1"/>
  <c r="J121" i="5"/>
  <c r="K121" i="5"/>
  <c r="L121" i="5" s="1"/>
  <c r="J122" i="5"/>
  <c r="K122" i="5"/>
  <c r="L122" i="5" s="1"/>
  <c r="J123" i="5"/>
  <c r="K123" i="5"/>
  <c r="L123" i="5" s="1"/>
  <c r="J124" i="5"/>
  <c r="K124" i="5"/>
  <c r="L124" i="5" s="1"/>
  <c r="J125" i="5"/>
  <c r="K125" i="5"/>
  <c r="L125" i="5" s="1"/>
  <c r="J126" i="5"/>
  <c r="K126" i="5"/>
  <c r="L126" i="5" s="1"/>
  <c r="J127" i="5"/>
  <c r="K127" i="5"/>
  <c r="L127" i="5" s="1"/>
  <c r="J128" i="5"/>
  <c r="K128" i="5"/>
  <c r="L128" i="5" s="1"/>
  <c r="J129" i="5"/>
  <c r="K129" i="5"/>
  <c r="L129" i="5" s="1"/>
  <c r="J130" i="5"/>
  <c r="K130" i="5"/>
  <c r="L130" i="5" s="1"/>
  <c r="J131" i="5"/>
  <c r="K131" i="5"/>
  <c r="L131" i="5" s="1"/>
  <c r="J132" i="5"/>
  <c r="K132" i="5"/>
  <c r="L132" i="5" s="1"/>
  <c r="J133" i="5"/>
  <c r="K133" i="5"/>
  <c r="L133" i="5" s="1"/>
  <c r="J134" i="5"/>
  <c r="K134" i="5"/>
  <c r="L134" i="5" s="1"/>
  <c r="J135" i="5"/>
  <c r="K135" i="5"/>
  <c r="L135" i="5" s="1"/>
  <c r="J136" i="5"/>
  <c r="K136" i="5"/>
  <c r="L136" i="5" s="1"/>
  <c r="J137" i="5"/>
  <c r="K137" i="5"/>
  <c r="L137" i="5" s="1"/>
  <c r="J138" i="5"/>
  <c r="K138" i="5"/>
  <c r="L138" i="5" s="1"/>
  <c r="J139" i="5"/>
  <c r="K139" i="5"/>
  <c r="L139" i="5" s="1"/>
  <c r="J140" i="5"/>
  <c r="K140" i="5"/>
  <c r="L140" i="5" s="1"/>
  <c r="J141" i="5"/>
  <c r="K141" i="5"/>
  <c r="L141" i="5" s="1"/>
  <c r="J142" i="5"/>
  <c r="K142" i="5"/>
  <c r="L142" i="5" s="1"/>
  <c r="J143" i="5"/>
  <c r="K143" i="5"/>
  <c r="L143" i="5" s="1"/>
  <c r="J144" i="5"/>
  <c r="K144" i="5"/>
  <c r="L144" i="5" s="1"/>
  <c r="J145" i="5"/>
  <c r="K145" i="5"/>
  <c r="L145" i="5" s="1"/>
  <c r="J146" i="5"/>
  <c r="K146" i="5"/>
  <c r="L146" i="5" s="1"/>
  <c r="J147" i="5"/>
  <c r="K147" i="5"/>
  <c r="L147" i="5" s="1"/>
  <c r="J148" i="5"/>
  <c r="K148" i="5"/>
  <c r="L148" i="5" s="1"/>
  <c r="J149" i="5"/>
  <c r="K149" i="5"/>
  <c r="L149" i="5" s="1"/>
  <c r="J150" i="5"/>
  <c r="K150" i="5"/>
  <c r="L150" i="5" s="1"/>
  <c r="J151" i="5"/>
  <c r="K151" i="5"/>
  <c r="L151" i="5" s="1"/>
  <c r="J152" i="5"/>
  <c r="K152" i="5"/>
  <c r="L152" i="5" s="1"/>
  <c r="J153" i="5"/>
  <c r="K153" i="5"/>
  <c r="L153" i="5" s="1"/>
  <c r="J154" i="5"/>
  <c r="K154" i="5"/>
  <c r="L154" i="5" s="1"/>
  <c r="J155" i="5"/>
  <c r="K155" i="5"/>
  <c r="L155" i="5" s="1"/>
  <c r="J156" i="5"/>
  <c r="K156" i="5"/>
  <c r="L156" i="5" s="1"/>
  <c r="J157" i="5"/>
  <c r="K157" i="5"/>
  <c r="L157" i="5" s="1"/>
  <c r="J158" i="5"/>
  <c r="K158" i="5"/>
  <c r="L158" i="5" s="1"/>
  <c r="J159" i="5"/>
  <c r="K159" i="5"/>
  <c r="L159" i="5" s="1"/>
  <c r="J160" i="5"/>
  <c r="K160" i="5"/>
  <c r="L160" i="5" s="1"/>
  <c r="J161" i="5"/>
  <c r="K161" i="5"/>
  <c r="L161" i="5" s="1"/>
  <c r="J162" i="5"/>
  <c r="K162" i="5"/>
  <c r="L162" i="5" s="1"/>
  <c r="J163" i="5"/>
  <c r="K163" i="5"/>
  <c r="L163" i="5" s="1"/>
  <c r="J164" i="5"/>
  <c r="K164" i="5"/>
  <c r="L164" i="5" s="1"/>
  <c r="J165" i="5"/>
  <c r="K165" i="5"/>
  <c r="L165" i="5" s="1"/>
  <c r="J166" i="5"/>
  <c r="K166" i="5"/>
  <c r="L166" i="5" s="1"/>
  <c r="J167" i="5"/>
  <c r="K167" i="5"/>
  <c r="L167" i="5" s="1"/>
  <c r="J168" i="5"/>
  <c r="K168" i="5"/>
  <c r="L168" i="5" s="1"/>
  <c r="J169" i="5"/>
  <c r="K169" i="5"/>
  <c r="L169" i="5" s="1"/>
  <c r="J170" i="5"/>
  <c r="K170" i="5"/>
  <c r="L170" i="5" s="1"/>
  <c r="J171" i="5"/>
  <c r="K171" i="5"/>
  <c r="L171" i="5" s="1"/>
  <c r="J172" i="5"/>
  <c r="K172" i="5"/>
  <c r="L172" i="5" s="1"/>
  <c r="J173" i="5"/>
  <c r="K173" i="5"/>
  <c r="L173" i="5" s="1"/>
  <c r="J174" i="5"/>
  <c r="K174" i="5"/>
  <c r="L174" i="5" s="1"/>
  <c r="J175" i="5"/>
  <c r="K175" i="5"/>
  <c r="L175" i="5" s="1"/>
  <c r="J176" i="5"/>
  <c r="K176" i="5"/>
  <c r="L176" i="5" s="1"/>
  <c r="J177" i="5"/>
  <c r="K177" i="5"/>
  <c r="L177" i="5" s="1"/>
  <c r="J178" i="5"/>
  <c r="K178" i="5"/>
  <c r="L178" i="5" s="1"/>
  <c r="J179" i="5"/>
  <c r="K179" i="5"/>
  <c r="L179" i="5" s="1"/>
  <c r="J180" i="5"/>
  <c r="K180" i="5"/>
  <c r="L180" i="5" s="1"/>
  <c r="J181" i="5"/>
  <c r="K181" i="5"/>
  <c r="L181" i="5" s="1"/>
  <c r="J182" i="5"/>
  <c r="K182" i="5"/>
  <c r="L182" i="5" s="1"/>
  <c r="J183" i="5"/>
  <c r="K183" i="5"/>
  <c r="L183" i="5" s="1"/>
  <c r="J184" i="5"/>
  <c r="K184" i="5"/>
  <c r="L184" i="5" s="1"/>
  <c r="J185" i="5"/>
  <c r="K185" i="5"/>
  <c r="L185" i="5" s="1"/>
  <c r="J186" i="5"/>
  <c r="K186" i="5"/>
  <c r="L186" i="5" s="1"/>
  <c r="J187" i="5"/>
  <c r="K187" i="5"/>
  <c r="L187" i="5" s="1"/>
  <c r="J188" i="5"/>
  <c r="K188" i="5"/>
  <c r="L188" i="5" s="1"/>
  <c r="J189" i="5"/>
  <c r="K189" i="5"/>
  <c r="L189" i="5" s="1"/>
  <c r="J190" i="5"/>
  <c r="K190" i="5"/>
  <c r="L190" i="5" s="1"/>
  <c r="J191" i="5"/>
  <c r="K191" i="5"/>
  <c r="L191" i="5" s="1"/>
  <c r="J192" i="5"/>
  <c r="K192" i="5"/>
  <c r="L192" i="5" s="1"/>
  <c r="J193" i="5"/>
  <c r="K193" i="5"/>
  <c r="L193" i="5" s="1"/>
  <c r="J194" i="5"/>
  <c r="K194" i="5"/>
  <c r="L194" i="5" s="1"/>
  <c r="J195" i="5"/>
  <c r="K195" i="5"/>
  <c r="L195" i="5" s="1"/>
  <c r="J196" i="5"/>
  <c r="K196" i="5"/>
  <c r="L196" i="5" s="1"/>
  <c r="J197" i="5"/>
  <c r="K197" i="5"/>
  <c r="L197" i="5" s="1"/>
  <c r="J198" i="5"/>
  <c r="K198" i="5"/>
  <c r="L198" i="5" s="1"/>
  <c r="J199" i="5"/>
  <c r="K199" i="5"/>
  <c r="L199" i="5" s="1"/>
  <c r="J200" i="5"/>
  <c r="K200" i="5"/>
  <c r="L200" i="5" s="1"/>
  <c r="J201" i="5"/>
  <c r="K201" i="5"/>
  <c r="L201" i="5" s="1"/>
  <c r="J202" i="5"/>
  <c r="K202" i="5"/>
  <c r="L202" i="5" s="1"/>
  <c r="J203" i="5"/>
  <c r="K203" i="5"/>
  <c r="L203" i="5" s="1"/>
  <c r="J204" i="5"/>
  <c r="K204" i="5"/>
  <c r="L204" i="5" s="1"/>
  <c r="J205" i="5"/>
  <c r="K205" i="5"/>
  <c r="L205" i="5" s="1"/>
  <c r="J206" i="5"/>
  <c r="K206" i="5"/>
  <c r="L206" i="5" s="1"/>
  <c r="J207" i="5"/>
  <c r="K207" i="5"/>
  <c r="L207" i="5" s="1"/>
  <c r="K5" i="5"/>
  <c r="L5" i="5" s="1"/>
  <c r="J5" i="5"/>
  <c r="C42" i="5"/>
  <c r="S6" i="5" s="1"/>
  <c r="C44" i="5"/>
  <c r="C45" i="5" s="1"/>
  <c r="C48" i="5"/>
  <c r="C47" i="5"/>
  <c r="C39" i="5"/>
  <c r="S188" i="5" l="1"/>
  <c r="S124" i="5"/>
  <c r="S60" i="5"/>
  <c r="S196" i="5"/>
  <c r="S132" i="5"/>
  <c r="S68" i="5"/>
  <c r="S180" i="5"/>
  <c r="S116" i="5"/>
  <c r="S52" i="5"/>
  <c r="S172" i="5"/>
  <c r="S108" i="5"/>
  <c r="S44" i="5"/>
  <c r="S164" i="5"/>
  <c r="S100" i="5"/>
  <c r="S36" i="5"/>
  <c r="S156" i="5"/>
  <c r="S92" i="5"/>
  <c r="S28" i="5"/>
  <c r="S148" i="5"/>
  <c r="S84" i="5"/>
  <c r="S20" i="5"/>
  <c r="S204" i="5"/>
  <c r="S140" i="5"/>
  <c r="S76" i="5"/>
  <c r="S12" i="5"/>
  <c r="S205" i="5"/>
  <c r="S197" i="5"/>
  <c r="S189" i="5"/>
  <c r="S181" i="5"/>
  <c r="S173" i="5"/>
  <c r="S165" i="5"/>
  <c r="S157" i="5"/>
  <c r="S149" i="5"/>
  <c r="S141" i="5"/>
  <c r="S133" i="5"/>
  <c r="S125" i="5"/>
  <c r="S117" i="5"/>
  <c r="S109" i="5"/>
  <c r="S101" i="5"/>
  <c r="S93" i="5"/>
  <c r="S85" i="5"/>
  <c r="S77" i="5"/>
  <c r="S69" i="5"/>
  <c r="S61" i="5"/>
  <c r="S53" i="5"/>
  <c r="S45" i="5"/>
  <c r="S37" i="5"/>
  <c r="S29" i="5"/>
  <c r="S21" i="5"/>
  <c r="S13" i="5"/>
  <c r="S203" i="5"/>
  <c r="S195" i="5"/>
  <c r="S187" i="5"/>
  <c r="S179" i="5"/>
  <c r="S171" i="5"/>
  <c r="S163" i="5"/>
  <c r="S155" i="5"/>
  <c r="S147" i="5"/>
  <c r="S139" i="5"/>
  <c r="S131" i="5"/>
  <c r="S123" i="5"/>
  <c r="S115" i="5"/>
  <c r="S107" i="5"/>
  <c r="S99" i="5"/>
  <c r="S91" i="5"/>
  <c r="S83" i="5"/>
  <c r="S75" i="5"/>
  <c r="S67" i="5"/>
  <c r="S59" i="5"/>
  <c r="S51" i="5"/>
  <c r="S43" i="5"/>
  <c r="S35" i="5"/>
  <c r="S27" i="5"/>
  <c r="S19" i="5"/>
  <c r="S11" i="5"/>
  <c r="M111" i="5"/>
  <c r="S202" i="5"/>
  <c r="S194" i="5"/>
  <c r="S186" i="5"/>
  <c r="S178" i="5"/>
  <c r="S170" i="5"/>
  <c r="S162" i="5"/>
  <c r="S154" i="5"/>
  <c r="S146" i="5"/>
  <c r="S138" i="5"/>
  <c r="S130" i="5"/>
  <c r="S122" i="5"/>
  <c r="S114" i="5"/>
  <c r="S106" i="5"/>
  <c r="S98" i="5"/>
  <c r="S90" i="5"/>
  <c r="S82" i="5"/>
  <c r="S74" i="5"/>
  <c r="S66" i="5"/>
  <c r="S58" i="5"/>
  <c r="S50" i="5"/>
  <c r="S42" i="5"/>
  <c r="S34" i="5"/>
  <c r="S26" i="5"/>
  <c r="S18" i="5"/>
  <c r="S10" i="5"/>
  <c r="S201" i="5"/>
  <c r="S193" i="5"/>
  <c r="S185" i="5"/>
  <c r="S177" i="5"/>
  <c r="S169" i="5"/>
  <c r="S161" i="5"/>
  <c r="S153" i="5"/>
  <c r="S145" i="5"/>
  <c r="S137" i="5"/>
  <c r="S129" i="5"/>
  <c r="S121" i="5"/>
  <c r="S113" i="5"/>
  <c r="S105" i="5"/>
  <c r="S97" i="5"/>
  <c r="S89" i="5"/>
  <c r="S81" i="5"/>
  <c r="S73" i="5"/>
  <c r="S65" i="5"/>
  <c r="S57" i="5"/>
  <c r="S49" i="5"/>
  <c r="S41" i="5"/>
  <c r="S33" i="5"/>
  <c r="S25" i="5"/>
  <c r="S17" i="5"/>
  <c r="S9" i="5"/>
  <c r="S5" i="5"/>
  <c r="S200" i="5"/>
  <c r="S192" i="5"/>
  <c r="S184" i="5"/>
  <c r="S176" i="5"/>
  <c r="S168" i="5"/>
  <c r="S160" i="5"/>
  <c r="S152" i="5"/>
  <c r="S144" i="5"/>
  <c r="S136" i="5"/>
  <c r="S128" i="5"/>
  <c r="S120" i="5"/>
  <c r="S112" i="5"/>
  <c r="S104" i="5"/>
  <c r="S96" i="5"/>
  <c r="S88" i="5"/>
  <c r="S80" i="5"/>
  <c r="S72" i="5"/>
  <c r="S64" i="5"/>
  <c r="S56" i="5"/>
  <c r="S48" i="5"/>
  <c r="S40" i="5"/>
  <c r="S32" i="5"/>
  <c r="S24" i="5"/>
  <c r="S16" i="5"/>
  <c r="S8" i="5"/>
  <c r="S207" i="5"/>
  <c r="S199" i="5"/>
  <c r="S191" i="5"/>
  <c r="S183" i="5"/>
  <c r="S175" i="5"/>
  <c r="S167" i="5"/>
  <c r="S159" i="5"/>
  <c r="S151" i="5"/>
  <c r="S143" i="5"/>
  <c r="S135" i="5"/>
  <c r="S127" i="5"/>
  <c r="S119" i="5"/>
  <c r="S111" i="5"/>
  <c r="S103" i="5"/>
  <c r="S95" i="5"/>
  <c r="S87" i="5"/>
  <c r="S79" i="5"/>
  <c r="S71" i="5"/>
  <c r="S63" i="5"/>
  <c r="S55" i="5"/>
  <c r="S47" i="5"/>
  <c r="S39" i="5"/>
  <c r="S31" i="5"/>
  <c r="S23" i="5"/>
  <c r="S15" i="5"/>
  <c r="S7" i="5"/>
  <c r="S206" i="5"/>
  <c r="S198" i="5"/>
  <c r="S190" i="5"/>
  <c r="S182" i="5"/>
  <c r="S174" i="5"/>
  <c r="S166" i="5"/>
  <c r="S158" i="5"/>
  <c r="S150" i="5"/>
  <c r="S142" i="5"/>
  <c r="S134" i="5"/>
  <c r="S126" i="5"/>
  <c r="S118" i="5"/>
  <c r="S110" i="5"/>
  <c r="S102" i="5"/>
  <c r="S94" i="5"/>
  <c r="S86" i="5"/>
  <c r="S78" i="5"/>
  <c r="S70" i="5"/>
  <c r="S62" i="5"/>
  <c r="S54" i="5"/>
  <c r="S46" i="5"/>
  <c r="S38" i="5"/>
  <c r="S30" i="5"/>
  <c r="S22" i="5"/>
  <c r="S14" i="5"/>
  <c r="M207" i="5"/>
  <c r="M200" i="5"/>
  <c r="M192" i="5"/>
  <c r="N192" i="5" s="1"/>
  <c r="M165" i="5"/>
  <c r="N165" i="5" s="1"/>
  <c r="M160" i="5"/>
  <c r="M140" i="5"/>
  <c r="M130" i="5"/>
  <c r="M128" i="5"/>
  <c r="M123" i="5"/>
  <c r="M118" i="5"/>
  <c r="M103" i="5"/>
  <c r="N103" i="5" s="1"/>
  <c r="M101" i="5"/>
  <c r="M96" i="5"/>
  <c r="O96" i="5" s="1"/>
  <c r="M91" i="5"/>
  <c r="M85" i="5"/>
  <c r="O85" i="5" s="1"/>
  <c r="M82" i="5"/>
  <c r="N82" i="5" s="1"/>
  <c r="M75" i="5"/>
  <c r="M64" i="5"/>
  <c r="M57" i="5"/>
  <c r="N57" i="5" s="1"/>
  <c r="M50" i="5"/>
  <c r="N50" i="5" s="1"/>
  <c r="M43" i="5"/>
  <c r="O43" i="5" s="1"/>
  <c r="M32" i="5"/>
  <c r="M25" i="5"/>
  <c r="N25" i="5" s="1"/>
  <c r="M18" i="5"/>
  <c r="N18" i="5" s="1"/>
  <c r="M11" i="5"/>
  <c r="O11" i="5" s="1"/>
  <c r="M154" i="5"/>
  <c r="M151" i="5"/>
  <c r="N151" i="5" s="1"/>
  <c r="M149" i="5"/>
  <c r="N149" i="5" s="1"/>
  <c r="M142" i="5"/>
  <c r="O142" i="5" s="1"/>
  <c r="M132" i="5"/>
  <c r="M120" i="5"/>
  <c r="M115" i="5"/>
  <c r="O115" i="5" s="1"/>
  <c r="M113" i="5"/>
  <c r="O113" i="5" s="1"/>
  <c r="M108" i="5"/>
  <c r="O108" i="5" s="1"/>
  <c r="M88" i="5"/>
  <c r="M78" i="5"/>
  <c r="N78" i="5" s="1"/>
  <c r="M71" i="5"/>
  <c r="O71" i="5" s="1"/>
  <c r="M60" i="5"/>
  <c r="M53" i="5"/>
  <c r="O53" i="5" s="1"/>
  <c r="M46" i="5"/>
  <c r="N46" i="5" s="1"/>
  <c r="M39" i="5"/>
  <c r="O39" i="5" s="1"/>
  <c r="M28" i="5"/>
  <c r="M21" i="5"/>
  <c r="N21" i="5" s="1"/>
  <c r="M14" i="5"/>
  <c r="O14" i="5" s="1"/>
  <c r="M7" i="5"/>
  <c r="O7" i="5" s="1"/>
  <c r="M183" i="5"/>
  <c r="M162" i="5"/>
  <c r="M202" i="5"/>
  <c r="M199" i="5"/>
  <c r="O199" i="5" s="1"/>
  <c r="M194" i="5"/>
  <c r="M191" i="5"/>
  <c r="O191" i="5" s="1"/>
  <c r="M180" i="5"/>
  <c r="N180" i="5" s="1"/>
  <c r="M177" i="5"/>
  <c r="O177" i="5" s="1"/>
  <c r="M172" i="5"/>
  <c r="M169" i="5"/>
  <c r="N169" i="5" s="1"/>
  <c r="M167" i="5"/>
  <c r="M159" i="5"/>
  <c r="M139" i="5"/>
  <c r="M134" i="5"/>
  <c r="M127" i="5"/>
  <c r="O127" i="5" s="1"/>
  <c r="M125" i="5"/>
  <c r="O125" i="5" s="1"/>
  <c r="M105" i="5"/>
  <c r="O105" i="5" s="1"/>
  <c r="M98" i="5"/>
  <c r="M95" i="5"/>
  <c r="N95" i="5" s="1"/>
  <c r="M84" i="5"/>
  <c r="M81" i="5"/>
  <c r="M74" i="5"/>
  <c r="O74" i="5" s="1"/>
  <c r="M67" i="5"/>
  <c r="N67" i="5" s="1"/>
  <c r="M56" i="5"/>
  <c r="O56" i="5" s="1"/>
  <c r="M49" i="5"/>
  <c r="M42" i="5"/>
  <c r="N42" i="5" s="1"/>
  <c r="M35" i="5"/>
  <c r="O35" i="5" s="1"/>
  <c r="M24" i="5"/>
  <c r="M17" i="5"/>
  <c r="M10" i="5"/>
  <c r="N10" i="5" s="1"/>
  <c r="M186" i="5"/>
  <c r="N186" i="5" s="1"/>
  <c r="M204" i="5"/>
  <c r="M164" i="5"/>
  <c r="M153" i="5"/>
  <c r="O153" i="5" s="1"/>
  <c r="M144" i="5"/>
  <c r="M136" i="5"/>
  <c r="M131" i="5"/>
  <c r="M122" i="5"/>
  <c r="O122" i="5" s="1"/>
  <c r="M119" i="5"/>
  <c r="O119" i="5" s="1"/>
  <c r="M117" i="5"/>
  <c r="N117" i="5" s="1"/>
  <c r="M110" i="5"/>
  <c r="O110" i="5" s="1"/>
  <c r="M107" i="5"/>
  <c r="O107" i="5" s="1"/>
  <c r="M100" i="5"/>
  <c r="O100" i="5" s="1"/>
  <c r="M93" i="5"/>
  <c r="M90" i="5"/>
  <c r="N90" i="5" s="1"/>
  <c r="M77" i="5"/>
  <c r="N77" i="5" s="1"/>
  <c r="M70" i="5"/>
  <c r="O70" i="5" s="1"/>
  <c r="M63" i="5"/>
  <c r="O63" i="5" s="1"/>
  <c r="M52" i="5"/>
  <c r="M45" i="5"/>
  <c r="N45" i="5" s="1"/>
  <c r="M38" i="5"/>
  <c r="O38" i="5" s="1"/>
  <c r="M31" i="5"/>
  <c r="O31" i="5" s="1"/>
  <c r="M20" i="5"/>
  <c r="M13" i="5"/>
  <c r="N13" i="5" s="1"/>
  <c r="M6" i="5"/>
  <c r="N6" i="5" s="1"/>
  <c r="M197" i="5"/>
  <c r="O197" i="5" s="1"/>
  <c r="M189" i="5"/>
  <c r="O189" i="5" s="1"/>
  <c r="M157" i="5"/>
  <c r="O157" i="5" s="1"/>
  <c r="M206" i="5"/>
  <c r="N206" i="5" s="1"/>
  <c r="M196" i="5"/>
  <c r="N196" i="5" s="1"/>
  <c r="M188" i="5"/>
  <c r="M185" i="5"/>
  <c r="O185" i="5" s="1"/>
  <c r="M182" i="5"/>
  <c r="N182" i="5" s="1"/>
  <c r="M179" i="5"/>
  <c r="N179" i="5" s="1"/>
  <c r="M174" i="5"/>
  <c r="M171" i="5"/>
  <c r="O171" i="5" s="1"/>
  <c r="M161" i="5"/>
  <c r="O161" i="5" s="1"/>
  <c r="M156" i="5"/>
  <c r="O156" i="5" s="1"/>
  <c r="M146" i="5"/>
  <c r="M141" i="5"/>
  <c r="O141" i="5" s="1"/>
  <c r="M129" i="5"/>
  <c r="M102" i="5"/>
  <c r="M87" i="5"/>
  <c r="O87" i="5" s="1"/>
  <c r="M80" i="5"/>
  <c r="N80" i="5" s="1"/>
  <c r="M73" i="5"/>
  <c r="O73" i="5" s="1"/>
  <c r="M66" i="5"/>
  <c r="N66" i="5" s="1"/>
  <c r="M59" i="5"/>
  <c r="M48" i="5"/>
  <c r="N48" i="5" s="1"/>
  <c r="M41" i="5"/>
  <c r="N41" i="5" s="1"/>
  <c r="M34" i="5"/>
  <c r="N34" i="5" s="1"/>
  <c r="M27" i="5"/>
  <c r="O27" i="5" s="1"/>
  <c r="M16" i="5"/>
  <c r="N16" i="5" s="1"/>
  <c r="M9" i="5"/>
  <c r="N9" i="5" s="1"/>
  <c r="M163" i="5"/>
  <c r="N163" i="5" s="1"/>
  <c r="M148" i="5"/>
  <c r="M143" i="5"/>
  <c r="N143" i="5" s="1"/>
  <c r="M138" i="5"/>
  <c r="N138" i="5" s="1"/>
  <c r="M135" i="5"/>
  <c r="N135" i="5" s="1"/>
  <c r="M133" i="5"/>
  <c r="M121" i="5"/>
  <c r="O121" i="5" s="1"/>
  <c r="M112" i="5"/>
  <c r="M99" i="5"/>
  <c r="N99" i="5" s="1"/>
  <c r="M97" i="5"/>
  <c r="O97" i="5" s="1"/>
  <c r="M89" i="5"/>
  <c r="N89" i="5" s="1"/>
  <c r="M83" i="5"/>
  <c r="O83" i="5" s="1"/>
  <c r="M76" i="5"/>
  <c r="N76" i="5" s="1"/>
  <c r="M69" i="5"/>
  <c r="M62" i="5"/>
  <c r="O62" i="5" s="1"/>
  <c r="M55" i="5"/>
  <c r="O55" i="5" s="1"/>
  <c r="M44" i="5"/>
  <c r="M37" i="5"/>
  <c r="M30" i="5"/>
  <c r="O30" i="5" s="1"/>
  <c r="M23" i="5"/>
  <c r="O23" i="5" s="1"/>
  <c r="M12" i="5"/>
  <c r="N12" i="5" s="1"/>
  <c r="M201" i="5"/>
  <c r="O201" i="5" s="1"/>
  <c r="M5" i="5"/>
  <c r="N5" i="5" s="1"/>
  <c r="M198" i="5"/>
  <c r="M195" i="5"/>
  <c r="O195" i="5" s="1"/>
  <c r="M190" i="5"/>
  <c r="M187" i="5"/>
  <c r="N187" i="5" s="1"/>
  <c r="M168" i="5"/>
  <c r="M166" i="5"/>
  <c r="N166" i="5" s="1"/>
  <c r="M158" i="5"/>
  <c r="O158" i="5" s="1"/>
  <c r="M155" i="5"/>
  <c r="O155" i="5" s="1"/>
  <c r="M150" i="5"/>
  <c r="M124" i="5"/>
  <c r="O124" i="5" s="1"/>
  <c r="M114" i="5"/>
  <c r="M109" i="5"/>
  <c r="O109" i="5" s="1"/>
  <c r="M104" i="5"/>
  <c r="M92" i="5"/>
  <c r="O92" i="5" s="1"/>
  <c r="M86" i="5"/>
  <c r="M72" i="5"/>
  <c r="N72" i="5" s="1"/>
  <c r="M65" i="5"/>
  <c r="N65" i="5" s="1"/>
  <c r="M58" i="5"/>
  <c r="O58" i="5" s="1"/>
  <c r="M51" i="5"/>
  <c r="O51" i="5" s="1"/>
  <c r="M40" i="5"/>
  <c r="N40" i="5" s="1"/>
  <c r="M33" i="5"/>
  <c r="N33" i="5" s="1"/>
  <c r="M26" i="5"/>
  <c r="O26" i="5" s="1"/>
  <c r="M19" i="5"/>
  <c r="O19" i="5" s="1"/>
  <c r="M8" i="5"/>
  <c r="O8" i="5" s="1"/>
  <c r="M203" i="5"/>
  <c r="N203" i="5" s="1"/>
  <c r="M193" i="5"/>
  <c r="O193" i="5" s="1"/>
  <c r="M176" i="5"/>
  <c r="O176" i="5" s="1"/>
  <c r="M205" i="5"/>
  <c r="O205" i="5" s="1"/>
  <c r="M184" i="5"/>
  <c r="N184" i="5" s="1"/>
  <c r="M181" i="5"/>
  <c r="O181" i="5" s="1"/>
  <c r="M178" i="5"/>
  <c r="N178" i="5" s="1"/>
  <c r="M175" i="5"/>
  <c r="O175" i="5" s="1"/>
  <c r="M173" i="5"/>
  <c r="N173" i="5" s="1"/>
  <c r="M170" i="5"/>
  <c r="O170" i="5" s="1"/>
  <c r="M152" i="5"/>
  <c r="M147" i="5"/>
  <c r="N147" i="5" s="1"/>
  <c r="M145" i="5"/>
  <c r="O145" i="5" s="1"/>
  <c r="M137" i="5"/>
  <c r="O137" i="5" s="1"/>
  <c r="M126" i="5"/>
  <c r="M116" i="5"/>
  <c r="M106" i="5"/>
  <c r="M94" i="5"/>
  <c r="M79" i="5"/>
  <c r="M68" i="5"/>
  <c r="N68" i="5" s="1"/>
  <c r="M61" i="5"/>
  <c r="N61" i="5" s="1"/>
  <c r="M54" i="5"/>
  <c r="N54" i="5" s="1"/>
  <c r="M47" i="5"/>
  <c r="O47" i="5" s="1"/>
  <c r="M36" i="5"/>
  <c r="N36" i="5" s="1"/>
  <c r="M29" i="5"/>
  <c r="O29" i="5" s="1"/>
  <c r="M22" i="5"/>
  <c r="M15" i="5"/>
  <c r="O15" i="5" s="1"/>
  <c r="N191" i="5"/>
  <c r="O169" i="5"/>
  <c r="N183" i="5"/>
  <c r="O183" i="5"/>
  <c r="N199" i="5"/>
  <c r="O165" i="5"/>
  <c r="N195" i="5"/>
  <c r="O187" i="5"/>
  <c r="O67" i="5"/>
  <c r="N172" i="5"/>
  <c r="O172" i="5"/>
  <c r="O133" i="5"/>
  <c r="N133" i="5"/>
  <c r="N158" i="5"/>
  <c r="O149" i="5"/>
  <c r="N124" i="5"/>
  <c r="N122" i="5"/>
  <c r="N111" i="5"/>
  <c r="O111" i="5"/>
  <c r="O203" i="5"/>
  <c r="O138" i="5"/>
  <c r="N91" i="5"/>
  <c r="O91" i="5"/>
  <c r="O89" i="5"/>
  <c r="N176" i="5"/>
  <c r="O173" i="5"/>
  <c r="N156" i="5"/>
  <c r="N154" i="5"/>
  <c r="O154" i="5"/>
  <c r="O143" i="5"/>
  <c r="O99" i="5"/>
  <c r="N207" i="5"/>
  <c r="O207" i="5"/>
  <c r="N200" i="5"/>
  <c r="O200" i="5"/>
  <c r="O192" i="5"/>
  <c r="O180" i="5"/>
  <c r="N159" i="5"/>
  <c r="O159" i="5"/>
  <c r="O196" i="5"/>
  <c r="N188" i="5"/>
  <c r="O188" i="5"/>
  <c r="N193" i="5"/>
  <c r="N189" i="5"/>
  <c r="O163" i="5"/>
  <c r="N123" i="5"/>
  <c r="O123" i="5"/>
  <c r="N139" i="5"/>
  <c r="O139" i="5"/>
  <c r="N113" i="5"/>
  <c r="N110" i="5"/>
  <c r="N74" i="5"/>
  <c r="N69" i="5"/>
  <c r="O69" i="5"/>
  <c r="N105" i="5"/>
  <c r="N87" i="5"/>
  <c r="O59" i="5"/>
  <c r="N59" i="5"/>
  <c r="N131" i="5"/>
  <c r="O131" i="5"/>
  <c r="N115" i="5"/>
  <c r="O66" i="5"/>
  <c r="O61" i="5"/>
  <c r="N73" i="5"/>
  <c r="O151" i="5"/>
  <c r="O95" i="5"/>
  <c r="N84" i="5"/>
  <c r="O84" i="5"/>
  <c r="N58" i="5"/>
  <c r="N108" i="5"/>
  <c r="N86" i="5"/>
  <c r="O86" i="5"/>
  <c r="O75" i="5"/>
  <c r="N75" i="5"/>
  <c r="O65" i="5"/>
  <c r="O50" i="5"/>
  <c r="N81" i="5"/>
  <c r="O81" i="5"/>
  <c r="N51" i="5"/>
  <c r="N39" i="5"/>
  <c r="N31" i="5"/>
  <c r="N27" i="5"/>
  <c r="N19" i="5"/>
  <c r="N11" i="5"/>
  <c r="N49" i="5"/>
  <c r="O49" i="5"/>
  <c r="N37" i="5"/>
  <c r="O37" i="5"/>
  <c r="N29" i="5"/>
  <c r="O25" i="5"/>
  <c r="N17" i="5"/>
  <c r="O17" i="5"/>
  <c r="O13" i="5"/>
  <c r="O82" i="5"/>
  <c r="O90" i="5"/>
  <c r="O68" i="5"/>
  <c r="N64" i="5"/>
  <c r="O64" i="5"/>
  <c r="N60" i="5"/>
  <c r="O60" i="5"/>
  <c r="N52" i="5"/>
  <c r="O52" i="5"/>
  <c r="O48" i="5"/>
  <c r="N44" i="5"/>
  <c r="O44" i="5"/>
  <c r="N32" i="5"/>
  <c r="O32" i="5"/>
  <c r="N28" i="5"/>
  <c r="O28" i="5"/>
  <c r="N24" i="5"/>
  <c r="O24" i="5"/>
  <c r="N20" i="5"/>
  <c r="O20" i="5"/>
  <c r="N8" i="5"/>
  <c r="N22" i="5"/>
  <c r="O22" i="5"/>
  <c r="O18" i="5"/>
  <c r="O6" i="5"/>
  <c r="N55" i="5" l="1"/>
  <c r="O78" i="5"/>
  <c r="N14" i="5"/>
  <c r="N23" i="5"/>
  <c r="N38" i="5"/>
  <c r="N70" i="5"/>
  <c r="N119" i="5"/>
  <c r="N100" i="5"/>
  <c r="N127" i="5"/>
  <c r="O206" i="5"/>
  <c r="O41" i="5"/>
  <c r="O182" i="5"/>
  <c r="N83" i="5"/>
  <c r="O9" i="5"/>
  <c r="O33" i="5"/>
  <c r="O46" i="5"/>
  <c r="O184" i="5"/>
  <c r="N35" i="5"/>
  <c r="O186" i="5"/>
  <c r="N205" i="5"/>
  <c r="N161" i="5"/>
  <c r="O147" i="5"/>
  <c r="N185" i="5"/>
  <c r="O21" i="5"/>
  <c r="O57" i="5"/>
  <c r="O10" i="5"/>
  <c r="N141" i="5"/>
  <c r="O40" i="5"/>
  <c r="O103" i="5"/>
  <c r="O77" i="5"/>
  <c r="N109" i="5"/>
  <c r="N56" i="5"/>
  <c r="N53" i="5"/>
  <c r="N85" i="5"/>
  <c r="N62" i="5"/>
  <c r="N171" i="5"/>
  <c r="O45" i="5"/>
  <c r="O42" i="5"/>
  <c r="N157" i="5"/>
  <c r="O16" i="5"/>
  <c r="O36" i="5"/>
  <c r="N121" i="5"/>
  <c r="O80" i="5"/>
  <c r="O5" i="5"/>
  <c r="O72" i="5"/>
  <c r="N153" i="5"/>
  <c r="N145" i="5"/>
  <c r="N155" i="5"/>
  <c r="N107" i="5"/>
  <c r="N175" i="5"/>
  <c r="N142" i="5"/>
  <c r="O12" i="5"/>
  <c r="O76" i="5"/>
  <c r="N26" i="5"/>
  <c r="O34" i="5"/>
  <c r="N92" i="5"/>
  <c r="N137" i="5"/>
  <c r="O179" i="5"/>
  <c r="N63" i="5"/>
  <c r="O54" i="5"/>
  <c r="O166" i="5"/>
  <c r="N197" i="5"/>
  <c r="N177" i="5"/>
  <c r="N125" i="5"/>
  <c r="N7" i="5"/>
  <c r="N43" i="5"/>
  <c r="O135" i="5"/>
  <c r="N71" i="5"/>
  <c r="N181" i="5"/>
  <c r="N96" i="5"/>
  <c r="O117" i="5"/>
  <c r="N30" i="5"/>
  <c r="O106" i="5"/>
  <c r="N106" i="5"/>
  <c r="N150" i="5"/>
  <c r="O150" i="5"/>
  <c r="O198" i="5"/>
  <c r="N198" i="5"/>
  <c r="N112" i="5"/>
  <c r="O112" i="5"/>
  <c r="N144" i="5"/>
  <c r="O144" i="5"/>
  <c r="N167" i="5"/>
  <c r="O167" i="5"/>
  <c r="O202" i="5"/>
  <c r="N202" i="5"/>
  <c r="N128" i="5"/>
  <c r="O128" i="5"/>
  <c r="N170" i="5"/>
  <c r="N116" i="5"/>
  <c r="O116" i="5"/>
  <c r="N98" i="5"/>
  <c r="O98" i="5"/>
  <c r="N162" i="5"/>
  <c r="O162" i="5"/>
  <c r="N120" i="5"/>
  <c r="O120" i="5"/>
  <c r="N130" i="5"/>
  <c r="O130" i="5"/>
  <c r="O126" i="5"/>
  <c r="N126" i="5"/>
  <c r="N174" i="5"/>
  <c r="O174" i="5"/>
  <c r="N164" i="5"/>
  <c r="O164" i="5"/>
  <c r="N132" i="5"/>
  <c r="O132" i="5"/>
  <c r="O140" i="5"/>
  <c r="N140" i="5"/>
  <c r="N102" i="5"/>
  <c r="O102" i="5"/>
  <c r="O204" i="5"/>
  <c r="N204" i="5"/>
  <c r="N160" i="5"/>
  <c r="O160" i="5"/>
  <c r="N15" i="5"/>
  <c r="N47" i="5"/>
  <c r="N97" i="5"/>
  <c r="O178" i="5"/>
  <c r="N201" i="5"/>
  <c r="O104" i="5"/>
  <c r="N104" i="5"/>
  <c r="O168" i="5"/>
  <c r="N168" i="5"/>
  <c r="O129" i="5"/>
  <c r="N129" i="5"/>
  <c r="O101" i="5"/>
  <c r="N101" i="5"/>
  <c r="N134" i="5"/>
  <c r="O134" i="5"/>
  <c r="N88" i="5"/>
  <c r="O88" i="5"/>
  <c r="O79" i="5"/>
  <c r="N79" i="5"/>
  <c r="N152" i="5"/>
  <c r="O152" i="5"/>
  <c r="N114" i="5"/>
  <c r="O114" i="5"/>
  <c r="O190" i="5"/>
  <c r="N190" i="5"/>
  <c r="N148" i="5"/>
  <c r="O148" i="5"/>
  <c r="N146" i="5"/>
  <c r="O146" i="5"/>
  <c r="O194" i="5"/>
  <c r="N194" i="5"/>
  <c r="N118" i="5"/>
  <c r="O118" i="5"/>
  <c r="N94" i="5"/>
  <c r="O94" i="5"/>
  <c r="O93" i="5"/>
  <c r="N93" i="5"/>
  <c r="N136" i="5"/>
  <c r="O136" i="5"/>
  <c r="K22" i="4"/>
  <c r="K23" i="4"/>
  <c r="C22" i="3" l="1"/>
  <c r="C19" i="5"/>
  <c r="C17" i="5"/>
  <c r="C13" i="5"/>
  <c r="C12" i="5"/>
  <c r="C10" i="5"/>
  <c r="C9" i="5"/>
  <c r="I19" i="4"/>
  <c r="I18" i="4"/>
  <c r="C13" i="4"/>
  <c r="C31" i="3" s="1"/>
  <c r="K12" i="4"/>
  <c r="C12" i="4"/>
  <c r="L11" i="1"/>
  <c r="C14" i="5" l="1"/>
  <c r="C11" i="5"/>
  <c r="C15" i="5" l="1"/>
  <c r="C16" i="5" s="1"/>
  <c r="C18" i="5" s="1"/>
  <c r="C20" i="5" s="1"/>
  <c r="C22" i="5" s="1"/>
  <c r="C31" i="5" s="1"/>
  <c r="P128" i="5"/>
  <c r="P92" i="5"/>
  <c r="P105" i="5"/>
  <c r="P104" i="5"/>
  <c r="P129" i="5"/>
  <c r="P145" i="5"/>
  <c r="P100" i="5"/>
  <c r="P140" i="5"/>
  <c r="P88" i="5"/>
  <c r="P162" i="5"/>
  <c r="P194" i="5"/>
  <c r="P142" i="5"/>
  <c r="P87" i="5"/>
  <c r="P124" i="5"/>
  <c r="P27" i="5"/>
  <c r="P79" i="5"/>
  <c r="P205" i="5"/>
  <c r="P43" i="5"/>
  <c r="P113" i="5"/>
  <c r="P177" i="5"/>
  <c r="P134" i="5"/>
  <c r="P193" i="5"/>
  <c r="P116" i="5"/>
  <c r="P201" i="5"/>
  <c r="P47" i="5"/>
  <c r="P181" i="5"/>
  <c r="P11" i="5"/>
  <c r="P108" i="5"/>
  <c r="P174" i="5"/>
  <c r="P132" i="5"/>
  <c r="P161" i="5"/>
  <c r="P114" i="5"/>
  <c r="P198" i="5"/>
  <c r="P15" i="5"/>
  <c r="P170" i="5"/>
  <c r="P106" i="5"/>
  <c r="P93" i="5"/>
  <c r="P164" i="5"/>
  <c r="P130" i="5"/>
  <c r="P156" i="5"/>
  <c r="P98" i="5"/>
  <c r="P190" i="5"/>
  <c r="P158" i="5"/>
  <c r="P39" i="5"/>
  <c r="P35" i="5"/>
  <c r="P97" i="5"/>
  <c r="P112" i="5"/>
  <c r="P148" i="5"/>
  <c r="P51" i="5"/>
  <c r="P168" i="5"/>
  <c r="P152" i="5"/>
  <c r="P197" i="5"/>
  <c r="P160" i="5"/>
  <c r="P31" i="5"/>
  <c r="P101" i="5"/>
  <c r="P146" i="5"/>
  <c r="P19" i="5"/>
  <c r="P150" i="5"/>
  <c r="P120" i="5"/>
  <c r="P189" i="5"/>
  <c r="P7" i="5"/>
  <c r="P110" i="5"/>
  <c r="P55" i="5"/>
  <c r="P144" i="5"/>
  <c r="P204" i="5"/>
  <c r="P126" i="5"/>
  <c r="P102" i="5"/>
  <c r="P167" i="5"/>
  <c r="P202" i="5"/>
  <c r="P185" i="5"/>
  <c r="P23" i="5"/>
  <c r="P136" i="5"/>
  <c r="P94" i="5"/>
  <c r="P118" i="5"/>
  <c r="P33" i="5"/>
  <c r="P151" i="5"/>
  <c r="P89" i="5"/>
  <c r="P75" i="5"/>
  <c r="P143" i="5"/>
  <c r="P44" i="5"/>
  <c r="P99" i="5"/>
  <c r="P42" i="5"/>
  <c r="P53" i="5"/>
  <c r="P125" i="5"/>
  <c r="P32" i="5"/>
  <c r="P65" i="5"/>
  <c r="P149" i="5"/>
  <c r="P66" i="5"/>
  <c r="P61" i="5"/>
  <c r="P141" i="5"/>
  <c r="P153" i="5"/>
  <c r="P166" i="5"/>
  <c r="P107" i="5"/>
  <c r="P95" i="5"/>
  <c r="P117" i="5"/>
  <c r="P81" i="5"/>
  <c r="P91" i="5"/>
  <c r="P28" i="5"/>
  <c r="P80" i="5"/>
  <c r="P154" i="5"/>
  <c r="P64" i="5"/>
  <c r="P59" i="5"/>
  <c r="P133" i="5"/>
  <c r="P6" i="5"/>
  <c r="P83" i="5"/>
  <c r="P172" i="5"/>
  <c r="P46" i="5"/>
  <c r="P103" i="5"/>
  <c r="P38" i="5"/>
  <c r="P111" i="5"/>
  <c r="P60" i="5"/>
  <c r="P119" i="5"/>
  <c r="P10" i="5"/>
  <c r="P90" i="5"/>
  <c r="P137" i="5"/>
  <c r="P57" i="5"/>
  <c r="P20" i="5"/>
  <c r="P85" i="5"/>
  <c r="P157" i="5"/>
  <c r="P184" i="5"/>
  <c r="P77" i="5"/>
  <c r="P183" i="5"/>
  <c r="P147" i="5"/>
  <c r="P67" i="5"/>
  <c r="P86" i="5"/>
  <c r="P30" i="5"/>
  <c r="P16" i="5"/>
  <c r="P73" i="5"/>
  <c r="P17" i="5"/>
  <c r="P21" i="5"/>
  <c r="P192" i="5"/>
  <c r="P155" i="5"/>
  <c r="P186" i="5"/>
  <c r="P72" i="5"/>
  <c r="P200" i="5"/>
  <c r="P52" i="5"/>
  <c r="P188" i="5"/>
  <c r="P175" i="5"/>
  <c r="P54" i="5"/>
  <c r="P165" i="5"/>
  <c r="P63" i="5"/>
  <c r="P187" i="5"/>
  <c r="P48" i="5"/>
  <c r="P34" i="5"/>
  <c r="P58" i="5"/>
  <c r="P37" i="5"/>
  <c r="P176" i="5"/>
  <c r="P195" i="5"/>
  <c r="P26" i="5"/>
  <c r="P121" i="5"/>
  <c r="P22" i="5"/>
  <c r="P138" i="5"/>
  <c r="P159" i="5"/>
  <c r="P56" i="5"/>
  <c r="P69" i="5"/>
  <c r="P24" i="5"/>
  <c r="P71" i="5"/>
  <c r="P199" i="5"/>
  <c r="P13" i="5"/>
  <c r="P74" i="5"/>
  <c r="P12" i="5"/>
  <c r="P5" i="5"/>
  <c r="P127" i="5"/>
  <c r="P179" i="5"/>
  <c r="P207" i="5"/>
  <c r="P41" i="5"/>
  <c r="P123" i="5"/>
  <c r="P49" i="5"/>
  <c r="P196" i="5"/>
  <c r="P40" i="5"/>
  <c r="P29" i="5"/>
  <c r="P139" i="5"/>
  <c r="P76" i="5"/>
  <c r="P82" i="5"/>
  <c r="P203" i="5"/>
  <c r="P8" i="5"/>
  <c r="P135" i="5"/>
  <c r="P96" i="5"/>
  <c r="P68" i="5"/>
  <c r="P171" i="5"/>
  <c r="P9" i="5"/>
  <c r="P173" i="5"/>
  <c r="P131" i="5"/>
  <c r="P178" i="5"/>
  <c r="P14" i="5"/>
  <c r="P180" i="5"/>
  <c r="P25" i="5"/>
  <c r="P45" i="5"/>
  <c r="P182" i="5"/>
  <c r="P18" i="5"/>
  <c r="P50" i="5"/>
  <c r="P122" i="5"/>
  <c r="P78" i="5"/>
  <c r="P206" i="5"/>
  <c r="P70" i="5"/>
  <c r="P191" i="5"/>
  <c r="P169" i="5"/>
  <c r="P36" i="5"/>
  <c r="P163" i="5"/>
  <c r="P62" i="5"/>
  <c r="P84" i="5"/>
  <c r="P115" i="5"/>
  <c r="P109" i="5"/>
  <c r="C30" i="5" l="1"/>
  <c r="I21" i="1" s="1"/>
  <c r="I22" i="1"/>
  <c r="C21" i="5"/>
  <c r="C26" i="5" s="1"/>
  <c r="R14" i="5"/>
  <c r="Q14" i="5"/>
  <c r="Q12" i="5"/>
  <c r="R12" i="5"/>
  <c r="Q122" i="5"/>
  <c r="R122" i="5"/>
  <c r="Q178" i="5"/>
  <c r="R178" i="5"/>
  <c r="Q49" i="5"/>
  <c r="R49" i="5"/>
  <c r="R74" i="5"/>
  <c r="Q74" i="5"/>
  <c r="Q138" i="5"/>
  <c r="R138" i="5"/>
  <c r="R34" i="5"/>
  <c r="Q34" i="5"/>
  <c r="Q52" i="5"/>
  <c r="R52" i="5"/>
  <c r="Q184" i="5"/>
  <c r="R184" i="5"/>
  <c r="Q119" i="5"/>
  <c r="R119" i="5"/>
  <c r="R6" i="5"/>
  <c r="Q6" i="5"/>
  <c r="R81" i="5"/>
  <c r="Q81" i="5"/>
  <c r="R66" i="5"/>
  <c r="Q66" i="5"/>
  <c r="Q44" i="5"/>
  <c r="R44" i="5"/>
  <c r="R136" i="5"/>
  <c r="Q136" i="5"/>
  <c r="Q144" i="5"/>
  <c r="R144" i="5"/>
  <c r="Q146" i="5"/>
  <c r="R146" i="5"/>
  <c r="Q148" i="5"/>
  <c r="R148" i="5"/>
  <c r="Q156" i="5"/>
  <c r="R156" i="5"/>
  <c r="Q114" i="5"/>
  <c r="R114" i="5"/>
  <c r="Q201" i="5"/>
  <c r="R201" i="5"/>
  <c r="Q79" i="5"/>
  <c r="R79" i="5"/>
  <c r="R140" i="5"/>
  <c r="Q140" i="5"/>
  <c r="Q163" i="5"/>
  <c r="R163" i="5"/>
  <c r="R50" i="5"/>
  <c r="Q50" i="5"/>
  <c r="Q131" i="5"/>
  <c r="R131" i="5"/>
  <c r="Q203" i="5"/>
  <c r="R203" i="5"/>
  <c r="Q123" i="5"/>
  <c r="R123" i="5"/>
  <c r="Q13" i="5"/>
  <c r="R13" i="5"/>
  <c r="R22" i="5"/>
  <c r="Q22" i="5"/>
  <c r="Q48" i="5"/>
  <c r="R48" i="5"/>
  <c r="Q200" i="5"/>
  <c r="R200" i="5"/>
  <c r="Q16" i="5"/>
  <c r="R16" i="5"/>
  <c r="R157" i="5"/>
  <c r="Q157" i="5"/>
  <c r="Q60" i="5"/>
  <c r="R60" i="5"/>
  <c r="R133" i="5"/>
  <c r="Q133" i="5"/>
  <c r="R117" i="5"/>
  <c r="Q117" i="5"/>
  <c r="R149" i="5"/>
  <c r="Q149" i="5"/>
  <c r="Q143" i="5"/>
  <c r="R143" i="5"/>
  <c r="Q23" i="5"/>
  <c r="R23" i="5"/>
  <c r="R55" i="5"/>
  <c r="Q55" i="5"/>
  <c r="R101" i="5"/>
  <c r="Q101" i="5"/>
  <c r="Q112" i="5"/>
  <c r="R112" i="5"/>
  <c r="Q130" i="5"/>
  <c r="R130" i="5"/>
  <c r="Q161" i="5"/>
  <c r="R161" i="5"/>
  <c r="Q116" i="5"/>
  <c r="R116" i="5"/>
  <c r="R27" i="5"/>
  <c r="Q27" i="5"/>
  <c r="Q100" i="5"/>
  <c r="R100" i="5"/>
  <c r="R18" i="5"/>
  <c r="Q18" i="5"/>
  <c r="Q199" i="5"/>
  <c r="R199" i="5"/>
  <c r="R121" i="5"/>
  <c r="Q121" i="5"/>
  <c r="Q187" i="5"/>
  <c r="R187" i="5"/>
  <c r="Q72" i="5"/>
  <c r="R72" i="5"/>
  <c r="R30" i="5"/>
  <c r="Q30" i="5"/>
  <c r="R85" i="5"/>
  <c r="Q85" i="5"/>
  <c r="Q111" i="5"/>
  <c r="R111" i="5"/>
  <c r="Q59" i="5"/>
  <c r="R59" i="5"/>
  <c r="Q95" i="5"/>
  <c r="R95" i="5"/>
  <c r="Q65" i="5"/>
  <c r="R65" i="5"/>
  <c r="Q75" i="5"/>
  <c r="R75" i="5"/>
  <c r="R185" i="5"/>
  <c r="Q185" i="5"/>
  <c r="R110" i="5"/>
  <c r="Q110" i="5"/>
  <c r="Q31" i="5"/>
  <c r="R31" i="5"/>
  <c r="R97" i="5"/>
  <c r="Q97" i="5"/>
  <c r="Q164" i="5"/>
  <c r="R164" i="5"/>
  <c r="Q132" i="5"/>
  <c r="R132" i="5"/>
  <c r="R193" i="5"/>
  <c r="Q193" i="5"/>
  <c r="Q124" i="5"/>
  <c r="R124" i="5"/>
  <c r="R145" i="5"/>
  <c r="Q145" i="5"/>
  <c r="Q96" i="5"/>
  <c r="R96" i="5"/>
  <c r="Q41" i="5"/>
  <c r="R41" i="5"/>
  <c r="Q76" i="5"/>
  <c r="R76" i="5"/>
  <c r="R26" i="5"/>
  <c r="Q26" i="5"/>
  <c r="Q186" i="5"/>
  <c r="R186" i="5"/>
  <c r="Q20" i="5"/>
  <c r="R20" i="5"/>
  <c r="Q64" i="5"/>
  <c r="R64" i="5"/>
  <c r="Q32" i="5"/>
  <c r="R32" i="5"/>
  <c r="Q89" i="5"/>
  <c r="R89" i="5"/>
  <c r="Q202" i="5"/>
  <c r="R202" i="5"/>
  <c r="Q7" i="5"/>
  <c r="R7" i="5"/>
  <c r="Q160" i="5"/>
  <c r="R160" i="5"/>
  <c r="R35" i="5"/>
  <c r="Q35" i="5"/>
  <c r="R93" i="5"/>
  <c r="Q93" i="5"/>
  <c r="Q174" i="5"/>
  <c r="R174" i="5"/>
  <c r="Q134" i="5"/>
  <c r="R134" i="5"/>
  <c r="R87" i="5"/>
  <c r="Q87" i="5"/>
  <c r="R129" i="5"/>
  <c r="Q129" i="5"/>
  <c r="Q115" i="5"/>
  <c r="R115" i="5"/>
  <c r="Q36" i="5"/>
  <c r="R36" i="5"/>
  <c r="R82" i="5"/>
  <c r="Q82" i="5"/>
  <c r="Q182" i="5"/>
  <c r="R182" i="5"/>
  <c r="Q171" i="5"/>
  <c r="R171" i="5"/>
  <c r="Q195" i="5"/>
  <c r="R195" i="5"/>
  <c r="Q67" i="5"/>
  <c r="R67" i="5"/>
  <c r="Q154" i="5"/>
  <c r="R154" i="5"/>
  <c r="Q151" i="5"/>
  <c r="R151" i="5"/>
  <c r="R189" i="5"/>
  <c r="Q189" i="5"/>
  <c r="Q39" i="5"/>
  <c r="R39" i="5"/>
  <c r="Q106" i="5"/>
  <c r="R106" i="5"/>
  <c r="R108" i="5"/>
  <c r="Q108" i="5"/>
  <c r="R177" i="5"/>
  <c r="Q177" i="5"/>
  <c r="Q142" i="5"/>
  <c r="R142" i="5"/>
  <c r="R104" i="5"/>
  <c r="Q104" i="5"/>
  <c r="R78" i="5"/>
  <c r="Q78" i="5"/>
  <c r="R173" i="5"/>
  <c r="Q173" i="5"/>
  <c r="R169" i="5"/>
  <c r="Q169" i="5"/>
  <c r="Q9" i="5"/>
  <c r="R9" i="5"/>
  <c r="Q207" i="5"/>
  <c r="R207" i="5"/>
  <c r="Q71" i="5"/>
  <c r="R71" i="5"/>
  <c r="Q63" i="5"/>
  <c r="R63" i="5"/>
  <c r="R86" i="5"/>
  <c r="Q86" i="5"/>
  <c r="R38" i="5"/>
  <c r="Q38" i="5"/>
  <c r="Q107" i="5"/>
  <c r="R107" i="5"/>
  <c r="Q191" i="5"/>
  <c r="R191" i="5"/>
  <c r="Q45" i="5"/>
  <c r="R45" i="5"/>
  <c r="Q139" i="5"/>
  <c r="R139" i="5"/>
  <c r="Q179" i="5"/>
  <c r="R179" i="5"/>
  <c r="Q24" i="5"/>
  <c r="R24" i="5"/>
  <c r="Q165" i="5"/>
  <c r="R165" i="5"/>
  <c r="Q155" i="5"/>
  <c r="R155" i="5"/>
  <c r="Q57" i="5"/>
  <c r="R57" i="5"/>
  <c r="Q103" i="5"/>
  <c r="R103" i="5"/>
  <c r="Q166" i="5"/>
  <c r="R166" i="5"/>
  <c r="R125" i="5"/>
  <c r="Q125" i="5"/>
  <c r="R167" i="5"/>
  <c r="Q167" i="5"/>
  <c r="R197" i="5"/>
  <c r="Q197" i="5"/>
  <c r="R109" i="5"/>
  <c r="Q109" i="5"/>
  <c r="R70" i="5"/>
  <c r="Q70" i="5"/>
  <c r="Q25" i="5"/>
  <c r="R25" i="5"/>
  <c r="Q68" i="5"/>
  <c r="R68" i="5"/>
  <c r="Q29" i="5"/>
  <c r="R29" i="5"/>
  <c r="Q127" i="5"/>
  <c r="R127" i="5"/>
  <c r="Q69" i="5"/>
  <c r="R69" i="5"/>
  <c r="Q176" i="5"/>
  <c r="R176" i="5"/>
  <c r="R54" i="5"/>
  <c r="Q54" i="5"/>
  <c r="Q192" i="5"/>
  <c r="R192" i="5"/>
  <c r="Q147" i="5"/>
  <c r="R147" i="5"/>
  <c r="R137" i="5"/>
  <c r="Q137" i="5"/>
  <c r="R46" i="5"/>
  <c r="Q46" i="5"/>
  <c r="Q80" i="5"/>
  <c r="R80" i="5"/>
  <c r="R153" i="5"/>
  <c r="Q153" i="5"/>
  <c r="R53" i="5"/>
  <c r="Q53" i="5"/>
  <c r="Q33" i="5"/>
  <c r="R33" i="5"/>
  <c r="Q102" i="5"/>
  <c r="R102" i="5"/>
  <c r="R120" i="5"/>
  <c r="Q120" i="5"/>
  <c r="Q152" i="5"/>
  <c r="R152" i="5"/>
  <c r="Q158" i="5"/>
  <c r="R158" i="5"/>
  <c r="Q170" i="5"/>
  <c r="R170" i="5"/>
  <c r="Q11" i="5"/>
  <c r="R11" i="5"/>
  <c r="Q113" i="5"/>
  <c r="R113" i="5"/>
  <c r="Q194" i="5"/>
  <c r="R194" i="5"/>
  <c r="R105" i="5"/>
  <c r="Q105" i="5"/>
  <c r="Q206" i="5"/>
  <c r="R206" i="5"/>
  <c r="R40" i="5"/>
  <c r="Q40" i="5"/>
  <c r="R5" i="5"/>
  <c r="Q5" i="5"/>
  <c r="Q56" i="5"/>
  <c r="R56" i="5"/>
  <c r="Q37" i="5"/>
  <c r="R37" i="5"/>
  <c r="Q175" i="5"/>
  <c r="R175" i="5"/>
  <c r="Q21" i="5"/>
  <c r="R21" i="5"/>
  <c r="Q183" i="5"/>
  <c r="R183" i="5"/>
  <c r="R90" i="5"/>
  <c r="Q90" i="5"/>
  <c r="Q172" i="5"/>
  <c r="R172" i="5"/>
  <c r="Q28" i="5"/>
  <c r="R28" i="5"/>
  <c r="R141" i="5"/>
  <c r="Q141" i="5"/>
  <c r="R42" i="5"/>
  <c r="Q42" i="5"/>
  <c r="Q118" i="5"/>
  <c r="R118" i="5"/>
  <c r="Q126" i="5"/>
  <c r="R126" i="5"/>
  <c r="Q150" i="5"/>
  <c r="R150" i="5"/>
  <c r="R168" i="5"/>
  <c r="Q168" i="5"/>
  <c r="Q190" i="5"/>
  <c r="R190" i="5"/>
  <c r="Q15" i="5"/>
  <c r="R15" i="5"/>
  <c r="Q181" i="5"/>
  <c r="R181" i="5"/>
  <c r="Q43" i="5"/>
  <c r="R43" i="5"/>
  <c r="R162" i="5"/>
  <c r="Q162" i="5"/>
  <c r="Q92" i="5"/>
  <c r="R92" i="5"/>
  <c r="Q180" i="5"/>
  <c r="R180" i="5"/>
  <c r="Q135" i="5"/>
  <c r="R135" i="5"/>
  <c r="Q159" i="5"/>
  <c r="R159" i="5"/>
  <c r="R58" i="5"/>
  <c r="Q58" i="5"/>
  <c r="Q188" i="5"/>
  <c r="R188" i="5"/>
  <c r="Q17" i="5"/>
  <c r="R17" i="5"/>
  <c r="Q77" i="5"/>
  <c r="R77" i="5"/>
  <c r="R10" i="5"/>
  <c r="Q10" i="5"/>
  <c r="R83" i="5"/>
  <c r="Q83" i="5"/>
  <c r="Q91" i="5"/>
  <c r="R91" i="5"/>
  <c r="Q61" i="5"/>
  <c r="R61" i="5"/>
  <c r="Q99" i="5"/>
  <c r="R99" i="5"/>
  <c r="Q94" i="5"/>
  <c r="R94" i="5"/>
  <c r="Q204" i="5"/>
  <c r="R204" i="5"/>
  <c r="Q19" i="5"/>
  <c r="R19" i="5"/>
  <c r="Q51" i="5"/>
  <c r="R51" i="5"/>
  <c r="Q98" i="5"/>
  <c r="R98" i="5"/>
  <c r="Q198" i="5"/>
  <c r="R198" i="5"/>
  <c r="Q47" i="5"/>
  <c r="R47" i="5"/>
  <c r="R205" i="5"/>
  <c r="Q205" i="5"/>
  <c r="R88" i="5"/>
  <c r="Q88" i="5"/>
  <c r="R128" i="5"/>
  <c r="Q128" i="5"/>
  <c r="R84" i="5"/>
  <c r="Q84" i="5"/>
  <c r="Q196" i="5"/>
  <c r="R196" i="5"/>
  <c r="R62" i="5"/>
  <c r="Q62" i="5"/>
  <c r="Q8" i="5"/>
  <c r="R8" i="5"/>
  <c r="Q73" i="5"/>
  <c r="R73" i="5"/>
  <c r="I16" i="1"/>
  <c r="C25" i="5" l="1"/>
  <c r="I20" i="1"/>
  <c r="H10" i="1"/>
  <c r="I10" i="1"/>
  <c r="Q12" i="1" l="1"/>
  <c r="Q8" i="1"/>
  <c r="Q19" i="1"/>
  <c r="I19" i="1" l="1"/>
  <c r="M13" i="1"/>
  <c r="M15" i="1"/>
  <c r="I13" i="1" l="1"/>
  <c r="J16" i="4" s="1"/>
  <c r="K16" i="4" s="1"/>
  <c r="I11" i="1"/>
  <c r="I5" i="1"/>
  <c r="I9" i="1"/>
  <c r="J6" i="4" s="1"/>
  <c r="K6" i="4" s="1"/>
  <c r="I8" i="1"/>
  <c r="J3" i="4" s="1"/>
  <c r="K3" i="4" s="1"/>
  <c r="C21" i="3" l="1"/>
  <c r="C23" i="3" s="1"/>
  <c r="C12" i="3"/>
  <c r="C3" i="3"/>
  <c r="C30" i="3"/>
  <c r="C32" i="3" s="1"/>
  <c r="J23" i="4"/>
  <c r="J22" i="4"/>
  <c r="J20" i="4"/>
  <c r="K20" i="4" s="1"/>
  <c r="C11" i="4" s="1"/>
  <c r="C13" i="3" s="1"/>
  <c r="J9" i="4"/>
  <c r="K9" i="4" s="1"/>
  <c r="C10" i="4" s="1"/>
  <c r="C4" i="3" s="1"/>
  <c r="M5" i="1"/>
  <c r="M17" i="1"/>
  <c r="M16" i="1"/>
  <c r="M8" i="1"/>
  <c r="I7" i="1"/>
  <c r="Q7" i="1"/>
  <c r="I6" i="1"/>
  <c r="I12" i="1"/>
  <c r="I15" i="1"/>
  <c r="J18" i="4" s="1"/>
  <c r="K18" i="4" s="1"/>
  <c r="I14" i="1"/>
  <c r="J13" i="4" s="1"/>
  <c r="K13" i="4" s="1"/>
  <c r="C5" i="3" l="1"/>
  <c r="C14" i="3"/>
  <c r="M14" i="1"/>
  <c r="M6" i="1"/>
  <c r="M18" i="1"/>
  <c r="M7" i="1"/>
  <c r="M9" i="1"/>
  <c r="Q5" i="1"/>
  <c r="Q15" i="1"/>
  <c r="M19" i="1"/>
  <c r="M11" i="1"/>
  <c r="Q6" i="1"/>
  <c r="Q10" i="1"/>
  <c r="Q22" i="1"/>
  <c r="Q13" i="1" l="1"/>
  <c r="Q9" i="1"/>
  <c r="Q20" i="1"/>
  <c r="M10" i="1"/>
  <c r="M20" i="1"/>
  <c r="Q11" i="1"/>
  <c r="Q21" i="1"/>
  <c r="Q14" i="1"/>
  <c r="M24" i="1" l="1"/>
  <c r="C6" i="3"/>
  <c r="C42" i="3"/>
  <c r="C43" i="3" s="1"/>
  <c r="C15" i="3"/>
  <c r="C16" i="3" s="1"/>
  <c r="C24" i="3"/>
  <c r="C27" i="3" s="1"/>
  <c r="C44" i="3"/>
  <c r="C33" i="3"/>
  <c r="M12" i="1"/>
  <c r="C45" i="3" l="1"/>
  <c r="M23" i="1"/>
  <c r="C8" i="3"/>
  <c r="C17" i="3"/>
  <c r="C18" i="3"/>
  <c r="C26" i="3"/>
  <c r="C25" i="3"/>
  <c r="C36" i="3"/>
  <c r="C35" i="3"/>
  <c r="C34" i="3"/>
  <c r="C9" i="3" l="1"/>
  <c r="C7" i="3"/>
  <c r="M22" i="1"/>
  <c r="M21" i="1"/>
</calcChain>
</file>

<file path=xl/sharedStrings.xml><?xml version="1.0" encoding="utf-8"?>
<sst xmlns="http://schemas.openxmlformats.org/spreadsheetml/2006/main" count="440" uniqueCount="291">
  <si>
    <t>Post and Support</t>
  </si>
  <si>
    <t>12' Rail 4-6" Stock Item</t>
  </si>
  <si>
    <t>AV20029</t>
  </si>
  <si>
    <t>Each</t>
  </si>
  <si>
    <t>Bundle</t>
  </si>
  <si>
    <t>Truck</t>
  </si>
  <si>
    <t>12' Rail 4-6" Pointed Non Stock</t>
  </si>
  <si>
    <t>12' Rail 4-6" Non Pointed Stock</t>
  </si>
  <si>
    <t>10' Steel Conduit 1/2"</t>
  </si>
  <si>
    <t>10' Bamboo 16/18mm</t>
  </si>
  <si>
    <t>AV20063</t>
  </si>
  <si>
    <t>AV20023</t>
  </si>
  <si>
    <t>AV20064</t>
  </si>
  <si>
    <t>AV20052</t>
  </si>
  <si>
    <t>AV19800</t>
  </si>
  <si>
    <t>n/a</t>
  </si>
  <si>
    <t># Per Bundle</t>
  </si>
  <si>
    <t># Per Truck</t>
  </si>
  <si>
    <t>Kwikrip Stabilizers 120" 200/bundle</t>
  </si>
  <si>
    <t>AV99997</t>
  </si>
  <si>
    <t>Kwikrimp tool</t>
  </si>
  <si>
    <t>AV00002</t>
  </si>
  <si>
    <t>Kwikrimp Crimps 10,340/box</t>
  </si>
  <si>
    <t>High Tensile Wire</t>
  </si>
  <si>
    <t>12.5ga 100lb Wood Spool</t>
  </si>
  <si>
    <t>AQ10037</t>
  </si>
  <si>
    <t>Size</t>
  </si>
  <si>
    <t>12.5ga 100lb Coil</t>
  </si>
  <si>
    <t>AQ10035</t>
  </si>
  <si>
    <t>14ga 100lb Wood Spool</t>
  </si>
  <si>
    <t>AV20055</t>
  </si>
  <si>
    <t>14ga 100lb Coil</t>
  </si>
  <si>
    <t>AV20057</t>
  </si>
  <si>
    <t>Ground Anchors</t>
  </si>
  <si>
    <t>4' Ground Anchor Local 3/4"</t>
  </si>
  <si>
    <t>AV200071</t>
  </si>
  <si>
    <t>Units</t>
  </si>
  <si>
    <t>each</t>
  </si>
  <si>
    <t>37" Anchor 5/8"</t>
  </si>
  <si>
    <t>AV20072</t>
  </si>
  <si>
    <t>Gripple Cable Anchor 4'</t>
  </si>
  <si>
    <t>AV54555</t>
  </si>
  <si>
    <t>Gripple Cable Anchor 6'</t>
  </si>
  <si>
    <t>AV54556</t>
  </si>
  <si>
    <t>Tying, Tensioners &amp; Clips</t>
  </si>
  <si>
    <t>6mm Black 100m (12in a master)</t>
  </si>
  <si>
    <t>AV20051</t>
  </si>
  <si>
    <t>Case</t>
  </si>
  <si>
    <t>Easi-Tie 12" 100/bag</t>
  </si>
  <si>
    <t>AV20048</t>
  </si>
  <si>
    <t>Dare Cast (Anchor to Post)</t>
  </si>
  <si>
    <t>AQ90113</t>
  </si>
  <si>
    <t>Gallagher (Inline)</t>
  </si>
  <si>
    <t>AQ90109</t>
  </si>
  <si>
    <t>Wire Vise</t>
  </si>
  <si>
    <t>AQ90106</t>
  </si>
  <si>
    <t>Dare Poly In-Line (wheel)</t>
  </si>
  <si>
    <t>AQ10369</t>
  </si>
  <si>
    <t>Gripple Medium (12.5ga)</t>
  </si>
  <si>
    <t>Trellis U hook REG 25/Bundle</t>
  </si>
  <si>
    <t>Conduit Clip 500/box</t>
  </si>
  <si>
    <t>Wildlife fence 8' 330'/roll 17-96-12</t>
  </si>
  <si>
    <t>AQ91110</t>
  </si>
  <si>
    <t>AV20004</t>
  </si>
  <si>
    <t>AV19987</t>
  </si>
  <si>
    <t>AQ90020</t>
  </si>
  <si>
    <t>AV12235</t>
  </si>
  <si>
    <t>OV21600</t>
  </si>
  <si>
    <t>Trellis U hook LRG 25/Bundle</t>
  </si>
  <si>
    <t>Barbed Staples 2" by the lb</t>
  </si>
  <si>
    <t>Length of row</t>
  </si>
  <si>
    <t>Tree spacing</t>
  </si>
  <si>
    <t>Line post spacing</t>
  </si>
  <si>
    <t># of guide wires</t>
  </si>
  <si>
    <t># of rows</t>
  </si>
  <si>
    <t>ft</t>
  </si>
  <si>
    <t>wires</t>
  </si>
  <si>
    <t>rows</t>
  </si>
  <si>
    <t>Trellis cost per tree</t>
  </si>
  <si>
    <t>Trellis cost per row</t>
  </si>
  <si>
    <t>Trellis cost per acre</t>
  </si>
  <si>
    <t>Production per tree</t>
  </si>
  <si>
    <t>Production per row</t>
  </si>
  <si>
    <t>Production per acre</t>
  </si>
  <si>
    <t>/tree</t>
  </si>
  <si>
    <t>/row</t>
  </si>
  <si>
    <t>/acre</t>
  </si>
  <si>
    <t>End posts</t>
  </si>
  <si>
    <t>Line posts</t>
  </si>
  <si>
    <t>Metal conduit</t>
  </si>
  <si>
    <t># of trees</t>
  </si>
  <si>
    <t>High tensile steel wire</t>
  </si>
  <si>
    <t>lengths</t>
  </si>
  <si>
    <t>posts</t>
  </si>
  <si>
    <t>trees</t>
  </si>
  <si>
    <t>Ground anchors</t>
  </si>
  <si>
    <t>In line wire tensioners</t>
  </si>
  <si>
    <t>Barbed staples</t>
  </si>
  <si>
    <t>Total costs:</t>
  </si>
  <si>
    <t>Line post</t>
  </si>
  <si>
    <t>High tensile wire</t>
  </si>
  <si>
    <t>Wire tensioners</t>
  </si>
  <si>
    <t>per case</t>
  </si>
  <si>
    <t>bags</t>
  </si>
  <si>
    <t xml:space="preserve">each </t>
  </si>
  <si>
    <t>50 lb per case</t>
  </si>
  <si>
    <t>Part #</t>
  </si>
  <si>
    <t xml:space="preserve">Total acreage </t>
  </si>
  <si>
    <t>acres</t>
  </si>
  <si>
    <t>total</t>
  </si>
  <si>
    <t>Quantity Range</t>
  </si>
  <si>
    <t>Break Point</t>
  </si>
  <si>
    <t xml:space="preserve">End post </t>
  </si>
  <si>
    <t>Unit Price</t>
  </si>
  <si>
    <t>1-49</t>
  </si>
  <si>
    <t>50-499</t>
  </si>
  <si>
    <t>500 +</t>
  </si>
  <si>
    <t>1-39</t>
  </si>
  <si>
    <t>40-499</t>
  </si>
  <si>
    <t>Unit price</t>
  </si>
  <si>
    <t>1-249</t>
  </si>
  <si>
    <t>250-19999</t>
  </si>
  <si>
    <t>20000 +</t>
  </si>
  <si>
    <t>Purchase Quanitity</t>
  </si>
  <si>
    <t>14' Rail 4-6" Non Pointed Stock</t>
  </si>
  <si>
    <t>14' Rail 4-6" Pointed Stock</t>
  </si>
  <si>
    <t>12.5ga 100lb Wood spool (3750ft/spool)</t>
  </si>
  <si>
    <t>Regular size</t>
  </si>
  <si>
    <t>1-24</t>
  </si>
  <si>
    <t>25 +</t>
  </si>
  <si>
    <t>Ground Anchor</t>
  </si>
  <si>
    <t>Gripple cable anchor 6'</t>
  </si>
  <si>
    <t>Gallagher (inline)</t>
  </si>
  <si>
    <t>2" barbed staples</t>
  </si>
  <si>
    <t>356 +</t>
  </si>
  <si>
    <t>1-355</t>
  </si>
  <si>
    <t>Item</t>
  </si>
  <si>
    <t>Details</t>
  </si>
  <si>
    <t>lbs</t>
  </si>
  <si>
    <t>lb</t>
  </si>
  <si>
    <t>Bushels per tree</t>
  </si>
  <si>
    <t>Bushels per row</t>
  </si>
  <si>
    <t>Bushels per acre</t>
  </si>
  <si>
    <t>Bins per tree</t>
  </si>
  <si>
    <t>Bins per row</t>
  </si>
  <si>
    <t>Bins per acre</t>
  </si>
  <si>
    <t>Row spacing</t>
  </si>
  <si>
    <t>bushels</t>
  </si>
  <si>
    <t>bins</t>
  </si>
  <si>
    <t>Yield per row</t>
  </si>
  <si>
    <t>Yield per acre</t>
  </si>
  <si>
    <t>Total production</t>
  </si>
  <si>
    <t># of trees per row</t>
  </si>
  <si>
    <t># of trees per acre</t>
  </si>
  <si>
    <t>Revenue price per lb</t>
  </si>
  <si>
    <t>Total yield</t>
  </si>
  <si>
    <t>Total bushels</t>
  </si>
  <si>
    <t>Total bins</t>
  </si>
  <si>
    <t>/lb</t>
  </si>
  <si>
    <t>Bin weight</t>
  </si>
  <si>
    <t>Bushel weight</t>
  </si>
  <si>
    <t># of conduit clips per tree</t>
  </si>
  <si>
    <t>Conduit clips</t>
  </si>
  <si>
    <t>1-499</t>
  </si>
  <si>
    <t>clips</t>
  </si>
  <si>
    <t>Bamboo</t>
  </si>
  <si>
    <t>PVC pipe</t>
  </si>
  <si>
    <t>Steel conduit</t>
  </si>
  <si>
    <t>Tree Stabilizer Type</t>
  </si>
  <si>
    <t>Tree stabilizer type</t>
  </si>
  <si>
    <t>Kwikrimp</t>
  </si>
  <si>
    <t>10' Bamboo (16/18mm)</t>
  </si>
  <si>
    <t>1-99</t>
  </si>
  <si>
    <t>100 +</t>
  </si>
  <si>
    <t>Kwikrimp stabilizers 120"</t>
  </si>
  <si>
    <t>PVC tubing</t>
  </si>
  <si>
    <t>10' PVC tubing 1/2"</t>
  </si>
  <si>
    <t>Price</t>
  </si>
  <si>
    <t>Line post diameter</t>
  </si>
  <si>
    <t>in</t>
  </si>
  <si>
    <t>Line post length</t>
  </si>
  <si>
    <t>Line post dept in ground</t>
  </si>
  <si>
    <t>Soil type</t>
  </si>
  <si>
    <t>Wind speed</t>
  </si>
  <si>
    <t>Tree height</t>
  </si>
  <si>
    <t>km/hr</t>
  </si>
  <si>
    <t>Branches per tree</t>
  </si>
  <si>
    <t>Branch diameter</t>
  </si>
  <si>
    <t>Tree trunk diameter</t>
  </si>
  <si>
    <t>Post placement</t>
  </si>
  <si>
    <t>Driven</t>
  </si>
  <si>
    <t>Augered</t>
  </si>
  <si>
    <t>Strength Factor</t>
  </si>
  <si>
    <t>Soil Type</t>
  </si>
  <si>
    <t>k in kPa/mm/m</t>
  </si>
  <si>
    <t xml:space="preserve">Post breaking stress </t>
  </si>
  <si>
    <t>Tree area</t>
  </si>
  <si>
    <t>Post &amp; wire area</t>
  </si>
  <si>
    <t>Total area</t>
  </si>
  <si>
    <t xml:space="preserve">M = k α pi b/4 (d)^4/36 </t>
  </si>
  <si>
    <t>Force of the wind (N)</t>
  </si>
  <si>
    <t>Fw=Area*.5*v^2*p*Cd</t>
  </si>
  <si>
    <t>Wind moment (kNm)</t>
  </si>
  <si>
    <t>Loading moment (kNm)</t>
  </si>
  <si>
    <t>Fruit moment (kNm)</t>
  </si>
  <si>
    <t>Load sharing</t>
  </si>
  <si>
    <t>Bending stress (Mpa</t>
  </si>
  <si>
    <t>M*y/I</t>
  </si>
  <si>
    <t>Safety factor overturn</t>
  </si>
  <si>
    <t>Safety factor for post</t>
  </si>
  <si>
    <t>Trellis:</t>
  </si>
  <si>
    <t>Pass/Fail</t>
  </si>
  <si>
    <t>Safety factor</t>
  </si>
  <si>
    <t>Post</t>
  </si>
  <si>
    <t>Trees (modulus of elasticity)</t>
  </si>
  <si>
    <t>Posts (modulus of elasticity)</t>
  </si>
  <si>
    <t>Moment of resistance (kNm)</t>
  </si>
  <si>
    <t>Trellis safety factor</t>
  </si>
  <si>
    <t>Post (PASS / FAIL)</t>
  </si>
  <si>
    <t>Post safety factor</t>
  </si>
  <si>
    <t>Trellis (PASS / FAIL)</t>
  </si>
  <si>
    <t>Strength Analysis</t>
  </si>
  <si>
    <t>Trellis Design Strength &amp; Input Cost Analysis</t>
  </si>
  <si>
    <t>Value</t>
  </si>
  <si>
    <t>Comment</t>
  </si>
  <si>
    <t>Component</t>
  </si>
  <si>
    <t>Set safety factor</t>
  </si>
  <si>
    <t>Lenghts</t>
  </si>
  <si>
    <t>Cost (each)</t>
  </si>
  <si>
    <t>Cost (total)</t>
  </si>
  <si>
    <t>Trellis total cost</t>
  </si>
  <si>
    <t>PVC Pipe</t>
  </si>
  <si>
    <t>No stabilizer</t>
  </si>
  <si>
    <t>/ft</t>
  </si>
  <si>
    <t>Quantity</t>
  </si>
  <si>
    <t>Clay</t>
  </si>
  <si>
    <t>Sandy clay</t>
  </si>
  <si>
    <t>Silt loam</t>
  </si>
  <si>
    <t>Orchard information</t>
  </si>
  <si>
    <t>Supply costs</t>
  </si>
  <si>
    <t>Trellis design strength</t>
  </si>
  <si>
    <t>Orchard yield</t>
  </si>
  <si>
    <t>Orchard revenue</t>
  </si>
  <si>
    <t xml:space="preserve">          User input</t>
  </si>
  <si>
    <t>n(Ep*Ip)/(Et*It)</t>
  </si>
  <si>
    <t>Wire tension</t>
  </si>
  <si>
    <t>Ewire</t>
  </si>
  <si>
    <t>Wire area</t>
  </si>
  <si>
    <t>Wire diameter</t>
  </si>
  <si>
    <t>Number of wires</t>
  </si>
  <si>
    <t>Air density</t>
  </si>
  <si>
    <t>Air temperature</t>
  </si>
  <si>
    <t>Yswire</t>
  </si>
  <si>
    <t>Wind speed (kph)</t>
  </si>
  <si>
    <t>Wind speed (m/s)</t>
  </si>
  <si>
    <t>Wind speed (ft/s)</t>
  </si>
  <si>
    <t xml:space="preserve">Angle </t>
  </si>
  <si>
    <t>(radians)</t>
  </si>
  <si>
    <t>Angle</t>
  </si>
  <si>
    <t>(degrees)</t>
  </si>
  <si>
    <t xml:space="preserve">Deflection at midpoint </t>
  </si>
  <si>
    <t>S</t>
  </si>
  <si>
    <t>inches</t>
  </si>
  <si>
    <t xml:space="preserve">T </t>
  </si>
  <si>
    <t>psi</t>
  </si>
  <si>
    <t>m/s</t>
  </si>
  <si>
    <t>kph</t>
  </si>
  <si>
    <t>ft/s</t>
  </si>
  <si>
    <t>YS</t>
  </si>
  <si>
    <t>Fnet</t>
  </si>
  <si>
    <t>Wire stress</t>
  </si>
  <si>
    <t>in^2</t>
  </si>
  <si>
    <t>kg/m^3</t>
  </si>
  <si>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C</t>
    </r>
  </si>
  <si>
    <t>Mpa</t>
  </si>
  <si>
    <t>lb/ft^3</t>
  </si>
  <si>
    <t>(inches)</t>
  </si>
  <si>
    <t>(ft)</t>
  </si>
  <si>
    <t>(lb)</t>
  </si>
  <si>
    <t>(psi)</t>
  </si>
  <si>
    <t>(m/s)</t>
  </si>
  <si>
    <t>(kph)</t>
  </si>
  <si>
    <t>(ft/s)</t>
  </si>
  <si>
    <t>Post spacing</t>
  </si>
  <si>
    <t>Wire</t>
  </si>
  <si>
    <t>Strength Analysis (Wire)</t>
  </si>
  <si>
    <t>Scotian Gold Orchard Supplies List (Updated October, 2016)</t>
  </si>
  <si>
    <t>Wire (PASS / FAIL)</t>
  </si>
  <si>
    <t>Anchor (PASS / FAIL)</t>
  </si>
  <si>
    <t>See graph -----&gt;</t>
  </si>
  <si>
    <t>tbd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</si>
</sst>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</font>
    <font>
      <sz val="1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B3"/>
        <bgColor indexed="64"/>
      </patternFill>
    </fill>
    <fill>
      <patternFill patternType="solid">
        <fgColor rgb="FFFFFFB3"/>
        <bgColor rgb="FFFFFFB3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9" borderId="0" applyNumberFormat="0" applyBorder="0" applyAlignment="0" applyProtection="0"/>
  </cellStyleXfs>
  <cellXfs count="189">
    <xf numFmtId="0" fontId="0" fillId="0" borderId="0" xfId="0"/>
    <xf numFmtId="0" fontId="0" fillId="6" borderId="6" xfId="0" applyFill="1" applyBorder="1"/>
    <xf numFmtId="0" fontId="0" fillId="6" borderId="7" xfId="0" applyFill="1" applyBorder="1"/>
    <xf numFmtId="0" fontId="0" fillId="6" borderId="8" xfId="0" applyFill="1" applyBorder="1"/>
    <xf numFmtId="0" fontId="0" fillId="6" borderId="4" xfId="0" applyFill="1" applyBorder="1"/>
    <xf numFmtId="0" fontId="0" fillId="6" borderId="22" xfId="0" applyFill="1" applyBorder="1"/>
    <xf numFmtId="0" fontId="0" fillId="6" borderId="5" xfId="0" applyFill="1" applyBorder="1"/>
    <xf numFmtId="0" fontId="0" fillId="6" borderId="0" xfId="0" applyFill="1" applyBorder="1"/>
    <xf numFmtId="0" fontId="0" fillId="6" borderId="9" xfId="0" applyFill="1" applyBorder="1"/>
    <xf numFmtId="0" fontId="0" fillId="8" borderId="5" xfId="0" applyFill="1" applyBorder="1"/>
    <xf numFmtId="0" fontId="0" fillId="8" borderId="0" xfId="0" applyFill="1" applyBorder="1"/>
    <xf numFmtId="0" fontId="0" fillId="8" borderId="7" xfId="0" applyFill="1" applyBorder="1"/>
    <xf numFmtId="0" fontId="0" fillId="8" borderId="8" xfId="0" applyFill="1" applyBorder="1"/>
    <xf numFmtId="0" fontId="0" fillId="8" borderId="6" xfId="0" applyFill="1" applyBorder="1"/>
    <xf numFmtId="0" fontId="0" fillId="8" borderId="9" xfId="0" applyFill="1" applyBorder="1"/>
    <xf numFmtId="0" fontId="0" fillId="8" borderId="4" xfId="0" applyFill="1" applyBorder="1"/>
    <xf numFmtId="0" fontId="0" fillId="8" borderId="22" xfId="0" applyFill="1" applyBorder="1"/>
    <xf numFmtId="0" fontId="0" fillId="8" borderId="23" xfId="0" applyFill="1" applyBorder="1"/>
    <xf numFmtId="0" fontId="0" fillId="0" borderId="22" xfId="0" applyBorder="1"/>
    <xf numFmtId="0" fontId="7" fillId="3" borderId="28" xfId="0" applyFont="1" applyFill="1" applyBorder="1"/>
    <xf numFmtId="0" fontId="8" fillId="11" borderId="3" xfId="0" applyFont="1" applyFill="1" applyBorder="1"/>
    <xf numFmtId="0" fontId="7" fillId="4" borderId="15" xfId="0" applyFont="1" applyFill="1" applyBorder="1"/>
    <xf numFmtId="0" fontId="7" fillId="3" borderId="16" xfId="0" applyFont="1" applyFill="1" applyBorder="1"/>
    <xf numFmtId="0" fontId="8" fillId="11" borderId="17" xfId="0" applyFont="1" applyFill="1" applyBorder="1"/>
    <xf numFmtId="0" fontId="7" fillId="4" borderId="18" xfId="0" applyFont="1" applyFill="1" applyBorder="1"/>
    <xf numFmtId="0" fontId="7" fillId="3" borderId="10" xfId="0" applyFont="1" applyFill="1" applyBorder="1"/>
    <xf numFmtId="0" fontId="8" fillId="11" borderId="1" xfId="0" applyFont="1" applyFill="1" applyBorder="1"/>
    <xf numFmtId="0" fontId="7" fillId="4" borderId="11" xfId="0" applyFont="1" applyFill="1" applyBorder="1"/>
    <xf numFmtId="0" fontId="8" fillId="11" borderId="1" xfId="0" applyFont="1" applyFill="1" applyBorder="1" applyAlignment="1">
      <alignment horizontal="right"/>
    </xf>
    <xf numFmtId="0" fontId="7" fillId="3" borderId="25" xfId="0" applyFont="1" applyFill="1" applyBorder="1"/>
    <xf numFmtId="164" fontId="8" fillId="11" borderId="26" xfId="0" applyNumberFormat="1" applyFont="1" applyFill="1" applyBorder="1"/>
    <xf numFmtId="0" fontId="7" fillId="4" borderId="27" xfId="0" applyFont="1" applyFill="1" applyBorder="1"/>
    <xf numFmtId="0" fontId="7" fillId="6" borderId="0" xfId="0" applyFont="1" applyFill="1" applyBorder="1"/>
    <xf numFmtId="0" fontId="7" fillId="5" borderId="3" xfId="0" applyNumberFormat="1" applyFont="1" applyFill="1" applyBorder="1"/>
    <xf numFmtId="0" fontId="7" fillId="3" borderId="15" xfId="0" applyFont="1" applyFill="1" applyBorder="1"/>
    <xf numFmtId="39" fontId="7" fillId="5" borderId="3" xfId="0" applyNumberFormat="1" applyFont="1" applyFill="1" applyBorder="1"/>
    <xf numFmtId="164" fontId="7" fillId="5" borderId="1" xfId="0" applyNumberFormat="1" applyFont="1" applyFill="1" applyBorder="1"/>
    <xf numFmtId="0" fontId="7" fillId="3" borderId="11" xfId="0" applyFont="1" applyFill="1" applyBorder="1"/>
    <xf numFmtId="39" fontId="7" fillId="5" borderId="1" xfId="0" applyNumberFormat="1" applyFont="1" applyFill="1" applyBorder="1"/>
    <xf numFmtId="164" fontId="7" fillId="7" borderId="1" xfId="0" applyNumberFormat="1" applyFont="1" applyFill="1" applyBorder="1"/>
    <xf numFmtId="0" fontId="7" fillId="3" borderId="30" xfId="0" applyFont="1" applyFill="1" applyBorder="1"/>
    <xf numFmtId="0" fontId="7" fillId="5" borderId="1" xfId="0" applyNumberFormat="1" applyFont="1" applyFill="1" applyBorder="1"/>
    <xf numFmtId="0" fontId="7" fillId="5" borderId="17" xfId="0" applyNumberFormat="1" applyFont="1" applyFill="1" applyBorder="1"/>
    <xf numFmtId="0" fontId="7" fillId="3" borderId="18" xfId="0" applyFont="1" applyFill="1" applyBorder="1"/>
    <xf numFmtId="0" fontId="7" fillId="3" borderId="19" xfId="0" applyFont="1" applyFill="1" applyBorder="1"/>
    <xf numFmtId="0" fontId="7" fillId="7" borderId="13" xfId="0" applyFont="1" applyFill="1" applyBorder="1"/>
    <xf numFmtId="0" fontId="7" fillId="3" borderId="20" xfId="0" applyFont="1" applyFill="1" applyBorder="1"/>
    <xf numFmtId="39" fontId="7" fillId="6" borderId="22" xfId="0" applyNumberFormat="1" applyFont="1" applyFill="1" applyBorder="1"/>
    <xf numFmtId="0" fontId="7" fillId="6" borderId="22" xfId="0" applyFont="1" applyFill="1" applyBorder="1"/>
    <xf numFmtId="164" fontId="7" fillId="7" borderId="17" xfId="0" applyNumberFormat="1" applyFont="1" applyFill="1" applyBorder="1"/>
    <xf numFmtId="0" fontId="7" fillId="3" borderId="31" xfId="0" applyFont="1" applyFill="1" applyBorder="1"/>
    <xf numFmtId="164" fontId="7" fillId="5" borderId="3" xfId="0" applyNumberFormat="1" applyFont="1" applyFill="1" applyBorder="1"/>
    <xf numFmtId="164" fontId="7" fillId="7" borderId="37" xfId="0" applyNumberFormat="1" applyFont="1" applyFill="1" applyBorder="1"/>
    <xf numFmtId="0" fontId="7" fillId="3" borderId="24" xfId="0" applyFont="1" applyFill="1" applyBorder="1"/>
    <xf numFmtId="0" fontId="3" fillId="6" borderId="22" xfId="0" applyFont="1" applyFill="1" applyBorder="1" applyAlignment="1"/>
    <xf numFmtId="0" fontId="3" fillId="6" borderId="23" xfId="0" applyFont="1" applyFill="1" applyBorder="1" applyAlignment="1"/>
    <xf numFmtId="0" fontId="0" fillId="8" borderId="34" xfId="0" applyFill="1" applyBorder="1"/>
    <xf numFmtId="0" fontId="7" fillId="3" borderId="10" xfId="0" applyFont="1" applyFill="1" applyBorder="1" applyAlignment="1">
      <alignment horizontal="left"/>
    </xf>
    <xf numFmtId="0" fontId="0" fillId="5" borderId="11" xfId="0" applyFill="1" applyBorder="1"/>
    <xf numFmtId="164" fontId="0" fillId="5" borderId="11" xfId="0" applyNumberFormat="1" applyFill="1" applyBorder="1"/>
    <xf numFmtId="0" fontId="0" fillId="3" borderId="10" xfId="0" applyFill="1" applyBorder="1"/>
    <xf numFmtId="0" fontId="0" fillId="3" borderId="28" xfId="0" applyFill="1" applyBorder="1"/>
    <xf numFmtId="0" fontId="0" fillId="5" borderId="15" xfId="0" applyFill="1" applyBorder="1"/>
    <xf numFmtId="164" fontId="0" fillId="5" borderId="14" xfId="0" applyNumberFormat="1" applyFill="1" applyBorder="1"/>
    <xf numFmtId="0" fontId="0" fillId="3" borderId="12" xfId="0" applyFill="1" applyBorder="1"/>
    <xf numFmtId="0" fontId="1" fillId="2" borderId="41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0" fillId="5" borderId="18" xfId="0" applyFill="1" applyBorder="1"/>
    <xf numFmtId="0" fontId="0" fillId="5" borderId="14" xfId="0" applyFill="1" applyBorder="1"/>
    <xf numFmtId="164" fontId="0" fillId="5" borderId="15" xfId="0" applyNumberFormat="1" applyFill="1" applyBorder="1"/>
    <xf numFmtId="164" fontId="0" fillId="5" borderId="18" xfId="0" applyNumberFormat="1" applyFill="1" applyBorder="1"/>
    <xf numFmtId="0" fontId="0" fillId="3" borderId="24" xfId="0" applyFill="1" applyBorder="1"/>
    <xf numFmtId="0" fontId="0" fillId="3" borderId="29" xfId="0" applyFill="1" applyBorder="1"/>
    <xf numFmtId="0" fontId="0" fillId="3" borderId="32" xfId="0" applyFill="1" applyBorder="1"/>
    <xf numFmtId="0" fontId="0" fillId="3" borderId="19" xfId="0" applyFill="1" applyBorder="1"/>
    <xf numFmtId="0" fontId="0" fillId="3" borderId="16" xfId="0" applyFill="1" applyBorder="1"/>
    <xf numFmtId="0" fontId="0" fillId="3" borderId="1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1" xfId="0" applyFill="1" applyBorder="1"/>
    <xf numFmtId="0" fontId="0" fillId="3" borderId="18" xfId="0" applyFill="1" applyBorder="1"/>
    <xf numFmtId="0" fontId="0" fillId="3" borderId="14" xfId="0" applyFill="1" applyBorder="1"/>
    <xf numFmtId="0" fontId="0" fillId="3" borderId="28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5" xfId="0" applyFill="1" applyBorder="1"/>
    <xf numFmtId="0" fontId="1" fillId="2" borderId="44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0" fontId="1" fillId="2" borderId="42" xfId="0" applyFont="1" applyFill="1" applyBorder="1"/>
    <xf numFmtId="0" fontId="0" fillId="5" borderId="3" xfId="0" applyFill="1" applyBorder="1" applyAlignment="1">
      <alignment horizontal="center"/>
    </xf>
    <xf numFmtId="164" fontId="0" fillId="5" borderId="43" xfId="0" applyNumberFormat="1" applyFill="1" applyBorder="1"/>
    <xf numFmtId="0" fontId="0" fillId="5" borderId="1" xfId="0" applyFill="1" applyBorder="1" applyAlignment="1">
      <alignment horizontal="center"/>
    </xf>
    <xf numFmtId="164" fontId="0" fillId="5" borderId="21" xfId="0" applyNumberFormat="1" applyFill="1" applyBorder="1"/>
    <xf numFmtId="0" fontId="0" fillId="5" borderId="17" xfId="0" applyFill="1" applyBorder="1" applyAlignment="1">
      <alignment horizontal="center"/>
    </xf>
    <xf numFmtId="164" fontId="0" fillId="5" borderId="1" xfId="0" applyNumberFormat="1" applyFill="1" applyBorder="1"/>
    <xf numFmtId="164" fontId="0" fillId="5" borderId="1" xfId="0" applyNumberFormat="1" applyFill="1" applyBorder="1" applyAlignment="1">
      <alignment horizontal="right"/>
    </xf>
    <xf numFmtId="0" fontId="0" fillId="5" borderId="13" xfId="0" applyFill="1" applyBorder="1" applyAlignment="1">
      <alignment horizontal="center"/>
    </xf>
    <xf numFmtId="164" fontId="0" fillId="5" borderId="13" xfId="0" applyNumberFormat="1" applyFill="1" applyBorder="1" applyAlignment="1">
      <alignment horizontal="right"/>
    </xf>
    <xf numFmtId="164" fontId="0" fillId="11" borderId="3" xfId="0" applyNumberFormat="1" applyFill="1" applyBorder="1"/>
    <xf numFmtId="164" fontId="0" fillId="11" borderId="1" xfId="0" applyNumberFormat="1" applyFill="1" applyBorder="1"/>
    <xf numFmtId="164" fontId="0" fillId="11" borderId="17" xfId="0" applyNumberFormat="1" applyFill="1" applyBorder="1"/>
    <xf numFmtId="164" fontId="0" fillId="11" borderId="13" xfId="0" applyNumberFormat="1" applyFill="1" applyBorder="1"/>
    <xf numFmtId="1" fontId="0" fillId="3" borderId="3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1" fontId="0" fillId="3" borderId="17" xfId="0" applyNumberFormat="1" applyFill="1" applyBorder="1" applyAlignment="1">
      <alignment horizontal="center"/>
    </xf>
    <xf numFmtId="0" fontId="0" fillId="3" borderId="1" xfId="0" applyFill="1" applyBorder="1"/>
    <xf numFmtId="0" fontId="0" fillId="3" borderId="13" xfId="0" applyFill="1" applyBorder="1"/>
    <xf numFmtId="0" fontId="0" fillId="5" borderId="1" xfId="0" applyFill="1" applyBorder="1"/>
    <xf numFmtId="0" fontId="1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left"/>
    </xf>
    <xf numFmtId="0" fontId="1" fillId="2" borderId="10" xfId="0" applyFont="1" applyFill="1" applyBorder="1"/>
    <xf numFmtId="0" fontId="0" fillId="2" borderId="1" xfId="0" applyFill="1" applyBorder="1"/>
    <xf numFmtId="164" fontId="0" fillId="5" borderId="13" xfId="0" applyNumberFormat="1" applyFill="1" applyBorder="1"/>
    <xf numFmtId="0" fontId="2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right"/>
    </xf>
    <xf numFmtId="0" fontId="0" fillId="3" borderId="11" xfId="0" applyFill="1" applyBorder="1" applyAlignment="1">
      <alignment horizontal="center"/>
    </xf>
    <xf numFmtId="0" fontId="1" fillId="2" borderId="41" xfId="0" applyFont="1" applyFill="1" applyBorder="1"/>
    <xf numFmtId="0" fontId="0" fillId="5" borderId="3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2" borderId="42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5" borderId="13" xfId="0" applyFill="1" applyBorder="1"/>
    <xf numFmtId="0" fontId="0" fillId="8" borderId="22" xfId="0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1" fillId="2" borderId="46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5" borderId="10" xfId="0" applyFill="1" applyBorder="1"/>
    <xf numFmtId="0" fontId="0" fillId="5" borderId="12" xfId="0" applyFill="1" applyBorder="1"/>
    <xf numFmtId="0" fontId="5" fillId="3" borderId="7" xfId="0" applyFont="1" applyFill="1" applyBorder="1" applyAlignment="1">
      <alignment horizontal="left"/>
    </xf>
    <xf numFmtId="0" fontId="5" fillId="3" borderId="12" xfId="0" applyFont="1" applyFill="1" applyBorder="1"/>
    <xf numFmtId="0" fontId="5" fillId="3" borderId="25" xfId="0" applyFont="1" applyFill="1" applyBorder="1"/>
    <xf numFmtId="164" fontId="5" fillId="5" borderId="13" xfId="0" applyNumberFormat="1" applyFont="1" applyFill="1" applyBorder="1"/>
    <xf numFmtId="2" fontId="5" fillId="5" borderId="26" xfId="0" applyNumberFormat="1" applyFont="1" applyFill="1" applyBorder="1"/>
    <xf numFmtId="0" fontId="5" fillId="3" borderId="27" xfId="0" applyFont="1" applyFill="1" applyBorder="1"/>
    <xf numFmtId="0" fontId="5" fillId="3" borderId="14" xfId="0" applyFont="1" applyFill="1" applyBorder="1"/>
    <xf numFmtId="0" fontId="7" fillId="3" borderId="7" xfId="0" applyFont="1" applyFill="1" applyBorder="1"/>
    <xf numFmtId="39" fontId="7" fillId="6" borderId="0" xfId="0" applyNumberFormat="1" applyFont="1" applyFill="1" applyBorder="1"/>
    <xf numFmtId="0" fontId="7" fillId="3" borderId="54" xfId="0" applyFont="1" applyFill="1" applyBorder="1"/>
    <xf numFmtId="0" fontId="5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10" fillId="10" borderId="51" xfId="1" applyNumberFormat="1" applyFont="1" applyFill="1" applyBorder="1" applyAlignment="1">
      <alignment horizontal="center"/>
    </xf>
    <xf numFmtId="0" fontId="10" fillId="10" borderId="20" xfId="1" applyNumberFormat="1" applyFont="1" applyFill="1" applyBorder="1" applyAlignment="1">
      <alignment horizontal="center"/>
    </xf>
    <xf numFmtId="164" fontId="10" fillId="10" borderId="49" xfId="1" applyNumberFormat="1" applyFont="1" applyFill="1" applyBorder="1" applyAlignment="1">
      <alignment horizontal="center"/>
    </xf>
    <xf numFmtId="164" fontId="10" fillId="10" borderId="50" xfId="1" applyNumberFormat="1" applyFont="1" applyFill="1" applyBorder="1" applyAlignment="1">
      <alignment horizontal="center"/>
    </xf>
    <xf numFmtId="0" fontId="10" fillId="5" borderId="43" xfId="1" applyNumberFormat="1" applyFont="1" applyFill="1" applyBorder="1" applyAlignment="1">
      <alignment horizontal="center"/>
    </xf>
    <xf numFmtId="0" fontId="10" fillId="5" borderId="53" xfId="1" applyNumberFormat="1" applyFont="1" applyFill="1" applyBorder="1" applyAlignment="1">
      <alignment horizontal="center"/>
    </xf>
    <xf numFmtId="0" fontId="10" fillId="5" borderId="52" xfId="1" applyNumberFormat="1" applyFont="1" applyFill="1" applyBorder="1" applyAlignment="1">
      <alignment horizontal="center"/>
    </xf>
    <xf numFmtId="0" fontId="10" fillId="5" borderId="9" xfId="1" applyNumberFormat="1" applyFont="1" applyFill="1" applyBorder="1" applyAlignment="1">
      <alignment horizontal="center"/>
    </xf>
    <xf numFmtId="0" fontId="7" fillId="3" borderId="16" xfId="0" applyFont="1" applyFill="1" applyBorder="1" applyAlignment="1">
      <alignment horizontal="left" vertical="center"/>
    </xf>
    <xf numFmtId="0" fontId="7" fillId="3" borderId="28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left" vertical="center"/>
    </xf>
    <xf numFmtId="0" fontId="6" fillId="2" borderId="34" xfId="0" applyFont="1" applyFill="1" applyBorder="1" applyAlignment="1">
      <alignment horizontal="left" vertical="center"/>
    </xf>
    <xf numFmtId="0" fontId="6" fillId="2" borderId="35" xfId="0" applyFont="1" applyFill="1" applyBorder="1" applyAlignment="1">
      <alignment horizontal="left" vertical="center"/>
    </xf>
    <xf numFmtId="0" fontId="7" fillId="3" borderId="36" xfId="0" applyFont="1" applyFill="1" applyBorder="1" applyAlignment="1">
      <alignment horizontal="left" vertical="center"/>
    </xf>
    <xf numFmtId="0" fontId="1" fillId="2" borderId="41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17" fontId="0" fillId="0" borderId="0" xfId="0" applyNumberFormat="1"/>
  </cellXfs>
  <cellStyles count="2">
    <cellStyle name="Good" xfId="1" builtinId="26"/>
    <cellStyle name="Normal" xfId="0" builtinId="0"/>
  </cellStyles>
  <dxfs count="4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B3"/>
      <color rgb="FFFFEFDA"/>
      <color rgb="FFFF8B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CA" sz="2400" b="1"/>
              <a:t>Wire Stress at Different Wind Speeds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57150" cap="flat" cmpd="sng" algn="ctr">
              <a:solidFill>
                <a:schemeClr val="accent6">
                  <a:shade val="50000"/>
                </a:schemeClr>
              </a:solidFill>
              <a:prstDash val="solid"/>
              <a:miter lim="800000"/>
            </a:ln>
            <a:effectLst/>
          </c:spPr>
          <c:marker>
            <c:symbol val="none"/>
          </c:marker>
          <c:xVal>
            <c:numRef>
              <c:f>'Strength analysis calculations'!$Q$5:$Q$207</c:f>
              <c:numCache>
                <c:formatCode>General</c:formatCode>
                <c:ptCount val="203"/>
                <c:pt idx="0">
                  <c:v>4.7574834194695645</c:v>
                </c:pt>
                <c:pt idx="1">
                  <c:v>5.830899217782239</c:v>
                </c:pt>
                <c:pt idx="2">
                  <c:v>6.7397194680194605</c:v>
                </c:pt>
                <c:pt idx="3">
                  <c:v>7.5449660215117937</c:v>
                </c:pt>
                <c:pt idx="4">
                  <c:v>8.278105603368429</c:v>
                </c:pt>
                <c:pt idx="5">
                  <c:v>8.9579542526322271</c:v>
                </c:pt>
                <c:pt idx="6">
                  <c:v>9.5968647999271255</c:v>
                </c:pt>
                <c:pt idx="7">
                  <c:v>10.20348994346749</c:v>
                </c:pt>
                <c:pt idx="8">
                  <c:v>10.784187014392954</c:v>
                </c:pt>
                <c:pt idx="9">
                  <c:v>11.343801297060901</c:v>
                </c:pt>
                <c:pt idx="10">
                  <c:v>11.886134294323705</c:v>
                </c:pt>
                <c:pt idx="11">
                  <c:v>12.414239329732203</c:v>
                </c:pt>
                <c:pt idx="12">
                  <c:v>12.93061653473027</c:v>
                </c:pt>
                <c:pt idx="13">
                  <c:v>13.43734621714194</c:v>
                </c:pt>
                <c:pt idx="14">
                  <c:v>13.936182908216322</c:v>
                </c:pt>
                <c:pt idx="15">
                  <c:v>14.42862343236501</c:v>
                </c:pt>
                <c:pt idx="16">
                  <c:v>14.915957299651343</c:v>
                </c:pt>
                <c:pt idx="17">
                  <c:v>15.3993047571559</c:v>
                </c:pt>
                <c:pt idx="18">
                  <c:v>15.879646029618195</c:v>
                </c:pt>
                <c:pt idx="19">
                  <c:v>16.357844144425115</c:v>
                </c:pt>
                <c:pt idx="20">
                  <c:v>16.834663002178019</c:v>
                </c:pt>
                <c:pt idx="21">
                  <c:v>17.310781868002891</c:v>
                </c:pt>
                <c:pt idx="22">
                  <c:v>17.786807129739625</c:v>
                </c:pt>
                <c:pt idx="23">
                  <c:v>18.263281941917345</c:v>
                </c:pt>
                <c:pt idx="24">
                  <c:v>18.74069421480975</c:v>
                </c:pt>
                <c:pt idx="25">
                  <c:v>19.219483293914209</c:v>
                </c:pt>
                <c:pt idx="26">
                  <c:v>19.700045592518936</c:v>
                </c:pt>
                <c:pt idx="27">
                  <c:v>20.182739379536745</c:v>
                </c:pt>
                <c:pt idx="28">
                  <c:v>20.667888879551999</c:v>
                </c:pt>
                <c:pt idx="29">
                  <c:v>21.155787808312617</c:v>
                </c:pt>
                <c:pt idx="30">
                  <c:v>21.646702441074211</c:v>
                </c:pt>
                <c:pt idx="31">
                  <c:v>22.140874291554727</c:v>
                </c:pt>
                <c:pt idx="32">
                  <c:v>22.638522463937829</c:v>
                </c:pt>
                <c:pt idx="33">
                  <c:v>23.13984572855928</c:v>
                </c:pt>
                <c:pt idx="34">
                  <c:v>23.645024362488087</c:v>
                </c:pt>
                <c:pt idx="35">
                  <c:v>24.154221788841465</c:v>
                </c:pt>
                <c:pt idx="36">
                  <c:v>24.667586042817028</c:v>
                </c:pt>
                <c:pt idx="37">
                  <c:v>25.18525108762891</c:v>
                </c:pt>
                <c:pt idx="38">
                  <c:v>25.707337999782371</c:v>
                </c:pt>
                <c:pt idx="39">
                  <c:v>26.233956039990407</c:v>
                </c:pt>
                <c:pt idx="40">
                  <c:v>26.765203623549976</c:v>
                </c:pt>
                <c:pt idx="41">
                  <c:v>27.30116920186299</c:v>
                </c:pt>
                <c:pt idx="42">
                  <c:v>27.841932065155362</c:v>
                </c:pt>
                <c:pt idx="43">
                  <c:v>28.387563074978054</c:v>
                </c:pt>
                <c:pt idx="44">
                  <c:v>28.938125333926347</c:v>
                </c:pt>
                <c:pt idx="45">
                  <c:v>29.493674799006723</c:v>
                </c:pt>
                <c:pt idx="46">
                  <c:v>30.054260844270342</c:v>
                </c:pt>
                <c:pt idx="47">
                  <c:v>30.61992677764594</c:v>
                </c:pt>
                <c:pt idx="48">
                  <c:v>31.190710316272522</c:v>
                </c:pt>
                <c:pt idx="49">
                  <c:v>31.76664402414443</c:v>
                </c:pt>
                <c:pt idx="50">
                  <c:v>32.347755715483352</c:v>
                </c:pt>
                <c:pt idx="51">
                  <c:v>32.934068826828202</c:v>
                </c:pt>
                <c:pt idx="52">
                  <c:v>33.525602760542228</c:v>
                </c:pt>
                <c:pt idx="53">
                  <c:v>34.122373202127939</c:v>
                </c:pt>
                <c:pt idx="54">
                  <c:v>34.724392413570101</c:v>
                </c:pt>
                <c:pt idx="55">
                  <c:v>35.331669504622148</c:v>
                </c:pt>
                <c:pt idx="56">
                  <c:v>35.944210683809601</c:v>
                </c:pt>
                <c:pt idx="57">
                  <c:v>36.56201949077677</c:v>
                </c:pt>
                <c:pt idx="58">
                  <c:v>37.185097011429725</c:v>
                </c:pt>
                <c:pt idx="59">
                  <c:v>37.813442077201124</c:v>
                </c:pt>
                <c:pt idx="60">
                  <c:v>38.447051449647184</c:v>
                </c:pt>
                <c:pt idx="61">
                  <c:v>39.085919991507964</c:v>
                </c:pt>
                <c:pt idx="62">
                  <c:v>39.730040825227171</c:v>
                </c:pt>
                <c:pt idx="63">
                  <c:v>40.379405479875885</c:v>
                </c:pt>
                <c:pt idx="64">
                  <c:v>41.034004027354229</c:v>
                </c:pt>
                <c:pt idx="65">
                  <c:v>41.693825208624091</c:v>
                </c:pt>
                <c:pt idx="66">
                  <c:v>42.358856550740612</c:v>
                </c:pt>
                <c:pt idx="67">
                  <c:v>43.029084475331807</c:v>
                </c:pt>
                <c:pt idx="68">
                  <c:v>43.704494399143584</c:v>
                </c:pt>
                <c:pt idx="69">
                  <c:v>44.385070827239971</c:v>
                </c:pt>
                <c:pt idx="70">
                  <c:v>45.070797439380797</c:v>
                </c:pt>
                <c:pt idx="71">
                  <c:v>45.761657170039157</c:v>
                </c:pt>
                <c:pt idx="72">
                  <c:v>46.457632282583859</c:v>
                </c:pt>
                <c:pt idx="73">
                  <c:v>47.158704437945481</c:v>
                </c:pt>
                <c:pt idx="74">
                  <c:v>47.864854758251518</c:v>
                </c:pt>
                <c:pt idx="75">
                  <c:v>48.576063885727237</c:v>
                </c:pt>
                <c:pt idx="76">
                  <c:v>49.292312037224008</c:v>
                </c:pt>
                <c:pt idx="77">
                  <c:v>50.013579054685465</c:v>
                </c:pt>
                <c:pt idx="78">
                  <c:v>50.739844451837214</c:v>
                </c:pt>
                <c:pt idx="79">
                  <c:v>51.47108745734802</c:v>
                </c:pt>
                <c:pt idx="80">
                  <c:v>52.20728705474027</c:v>
                </c:pt>
                <c:pt idx="81">
                  <c:v>52.948422019280031</c:v>
                </c:pt>
                <c:pt idx="82">
                  <c:v>53.694470952020126</c:v>
                </c:pt>
                <c:pt idx="83">
                  <c:v>54.445412311250912</c:v>
                </c:pt>
                <c:pt idx="84">
                  <c:v>55.201224441502681</c:v>
                </c:pt>
                <c:pt idx="85">
                  <c:v>55.961885600288753</c:v>
                </c:pt>
                <c:pt idx="86">
                  <c:v>56.727373982758586</c:v>
                </c:pt>
                <c:pt idx="87">
                  <c:v>57.497667744368925</c:v>
                </c:pt>
                <c:pt idx="88">
                  <c:v>58.272745021778192</c:v>
                </c:pt>
                <c:pt idx="89">
                  <c:v>59.052583952016263</c:v>
                </c:pt>
                <c:pt idx="90">
                  <c:v>59.837162690123115</c:v>
                </c:pt>
                <c:pt idx="91">
                  <c:v>60.626459425305491</c:v>
                </c:pt>
                <c:pt idx="92">
                  <c:v>61.4204523957414</c:v>
                </c:pt>
                <c:pt idx="93">
                  <c:v>62.219119902159527</c:v>
                </c:pt>
                <c:pt idx="94">
                  <c:v>63.022440320206769</c:v>
                </c:pt>
                <c:pt idx="95">
                  <c:v>63.830392111780228</c:v>
                </c:pt>
                <c:pt idx="96">
                  <c:v>64.64295383530127</c:v>
                </c:pt>
                <c:pt idx="97">
                  <c:v>65.460104155105554</c:v>
                </c:pt>
                <c:pt idx="98">
                  <c:v>66.281821849935881</c:v>
                </c:pt>
                <c:pt idx="99">
                  <c:v>67.108085820640298</c:v>
                </c:pt>
                <c:pt idx="100">
                  <c:v>67.938875097131159</c:v>
                </c:pt>
                <c:pt idx="101">
                  <c:v>68.774168844629003</c:v>
                </c:pt>
                <c:pt idx="102">
                  <c:v>69.613946369297381</c:v>
                </c:pt>
                <c:pt idx="103">
                  <c:v>70.458187123252458</c:v>
                </c:pt>
                <c:pt idx="104">
                  <c:v>71.306870709049491</c:v>
                </c:pt>
                <c:pt idx="105">
                  <c:v>72.159976883628403</c:v>
                </c:pt>
                <c:pt idx="106">
                  <c:v>73.017485561814098</c:v>
                </c:pt>
                <c:pt idx="107">
                  <c:v>73.879376819367423</c:v>
                </c:pt>
                <c:pt idx="108">
                  <c:v>74.745630895615179</c:v>
                </c:pt>
                <c:pt idx="109">
                  <c:v>75.616228195746402</c:v>
                </c:pt>
                <c:pt idx="110">
                  <c:v>76.491149292709835</c:v>
                </c:pt>
                <c:pt idx="111">
                  <c:v>77.370374928843859</c:v>
                </c:pt>
                <c:pt idx="112">
                  <c:v>78.253886017163055</c:v>
                </c:pt>
                <c:pt idx="113">
                  <c:v>79.141663642410734</c:v>
                </c:pt>
                <c:pt idx="114">
                  <c:v>80.033689061839524</c:v>
                </c:pt>
                <c:pt idx="115">
                  <c:v>80.929943705760408</c:v>
                </c:pt>
                <c:pt idx="116">
                  <c:v>81.830409177885059</c:v>
                </c:pt>
                <c:pt idx="117">
                  <c:v>82.735067255474277</c:v>
                </c:pt>
                <c:pt idx="118">
                  <c:v>83.643899889294744</c:v>
                </c:pt>
                <c:pt idx="119">
                  <c:v>84.55688920341936</c:v>
                </c:pt>
                <c:pt idx="120">
                  <c:v>85.474017494875596</c:v>
                </c:pt>
                <c:pt idx="121">
                  <c:v>86.395267233150605</c:v>
                </c:pt>
                <c:pt idx="122">
                  <c:v>87.320621059571138</c:v>
                </c:pt>
                <c:pt idx="123">
                  <c:v>88.25006178656561</c:v>
                </c:pt>
                <c:pt idx="124">
                  <c:v>89.183572396828694</c:v>
                </c:pt>
                <c:pt idx="125">
                  <c:v>90.121136042379064</c:v>
                </c:pt>
                <c:pt idx="126">
                  <c:v>91.062736043531785</c:v>
                </c:pt>
                <c:pt idx="127">
                  <c:v>92.008355887796057</c:v>
                </c:pt>
                <c:pt idx="128">
                  <c:v>92.957979228705454</c:v>
                </c:pt>
                <c:pt idx="129">
                  <c:v>93.911589884567036</c:v>
                </c:pt>
                <c:pt idx="130">
                  <c:v>94.869171837165041</c:v>
                </c:pt>
                <c:pt idx="131">
                  <c:v>95.830709230421959</c:v>
                </c:pt>
                <c:pt idx="132">
                  <c:v>96.796186368991656</c:v>
                </c:pt>
                <c:pt idx="133">
                  <c:v>97.765587716822949</c:v>
                </c:pt>
                <c:pt idx="134">
                  <c:v>98.738897895695573</c:v>
                </c:pt>
                <c:pt idx="135">
                  <c:v>99.716101683711898</c:v>
                </c:pt>
                <c:pt idx="136">
                  <c:v>100.69718401375958</c:v>
                </c:pt>
                <c:pt idx="137">
                  <c:v>101.68212997196993</c:v>
                </c:pt>
                <c:pt idx="138">
                  <c:v>102.67092479613306</c:v>
                </c:pt>
                <c:pt idx="139">
                  <c:v>103.66355387411807</c:v>
                </c:pt>
                <c:pt idx="140">
                  <c:v>104.66000274225632</c:v>
                </c:pt>
                <c:pt idx="141">
                  <c:v>105.66025708374177</c:v>
                </c:pt>
                <c:pt idx="142">
                  <c:v>106.66430272699807</c:v>
                </c:pt>
                <c:pt idx="143">
                  <c:v>107.67212564405055</c:v>
                </c:pt>
                <c:pt idx="144">
                  <c:v>108.68371194890963</c:v>
                </c:pt>
                <c:pt idx="145">
                  <c:v>109.69904789591735</c:v>
                </c:pt>
                <c:pt idx="146">
                  <c:v>110.71811987813402</c:v>
                </c:pt>
                <c:pt idx="147">
                  <c:v>111.74091442570032</c:v>
                </c:pt>
                <c:pt idx="148">
                  <c:v>112.76741820421128</c:v>
                </c:pt>
                <c:pt idx="149">
                  <c:v>113.7976180130978</c:v>
                </c:pt>
                <c:pt idx="150">
                  <c:v>114.83150078401901</c:v>
                </c:pt>
                <c:pt idx="151">
                  <c:v>115.86905357924155</c:v>
                </c:pt>
                <c:pt idx="152">
                  <c:v>116.91026359006099</c:v>
                </c:pt>
                <c:pt idx="153">
                  <c:v>117.95511813520208</c:v>
                </c:pt>
                <c:pt idx="154">
                  <c:v>119.00360465924854</c:v>
                </c:pt>
                <c:pt idx="155">
                  <c:v>120.05571073107595</c:v>
                </c:pt>
                <c:pt idx="156">
                  <c:v>121.11142404230164</c:v>
                </c:pt>
                <c:pt idx="157">
                  <c:v>122.17073240574882</c:v>
                </c:pt>
                <c:pt idx="158">
                  <c:v>123.23362375391119</c:v>
                </c:pt>
                <c:pt idx="159">
                  <c:v>124.30008613745686</c:v>
                </c:pt>
                <c:pt idx="160">
                  <c:v>125.37010772371363</c:v>
                </c:pt>
                <c:pt idx="161">
                  <c:v>126.44367679520889</c:v>
                </c:pt>
                <c:pt idx="162">
                  <c:v>127.52078174818502</c:v>
                </c:pt>
                <c:pt idx="163">
                  <c:v>128.60141109115864</c:v>
                </c:pt>
                <c:pt idx="164">
                  <c:v>129.68555344348556</c:v>
                </c:pt>
                <c:pt idx="165">
                  <c:v>130.77319753394241</c:v>
                </c:pt>
                <c:pt idx="166">
                  <c:v>131.86433219932047</c:v>
                </c:pt>
                <c:pt idx="167">
                  <c:v>132.95894638304978</c:v>
                </c:pt>
                <c:pt idx="168">
                  <c:v>134.05702913382646</c:v>
                </c:pt>
                <c:pt idx="169">
                  <c:v>135.15856960425683</c:v>
                </c:pt>
                <c:pt idx="170">
                  <c:v>136.2635570495319</c:v>
                </c:pt>
                <c:pt idx="171">
                  <c:v>137.37198082610342</c:v>
                </c:pt>
                <c:pt idx="172">
                  <c:v>138.48383039038654</c:v>
                </c:pt>
                <c:pt idx="173">
                  <c:v>139.59909529747526</c:v>
                </c:pt>
                <c:pt idx="174">
                  <c:v>140.71776519987753</c:v>
                </c:pt>
                <c:pt idx="175">
                  <c:v>141.83982984625848</c:v>
                </c:pt>
                <c:pt idx="176">
                  <c:v>142.96527908022267</c:v>
                </c:pt>
                <c:pt idx="177">
                  <c:v>144.09410283907982</c:v>
                </c:pt>
                <c:pt idx="178">
                  <c:v>145.22629115266395</c:v>
                </c:pt>
                <c:pt idx="179">
                  <c:v>146.36183414213266</c:v>
                </c:pt>
                <c:pt idx="180">
                  <c:v>147.50072201881747</c:v>
                </c:pt>
                <c:pt idx="181">
                  <c:v>148.64294508306349</c:v>
                </c:pt>
                <c:pt idx="182">
                  <c:v>149.78849372309932</c:v>
                </c:pt>
                <c:pt idx="183">
                  <c:v>150.93735841392035</c:v>
                </c:pt>
                <c:pt idx="184">
                  <c:v>152.08952971619064</c:v>
                </c:pt>
                <c:pt idx="185">
                  <c:v>153.24499827514902</c:v>
                </c:pt>
                <c:pt idx="186">
                  <c:v>154.40375481954956</c:v>
                </c:pt>
                <c:pt idx="187">
                  <c:v>155.56579016059737</c:v>
                </c:pt>
                <c:pt idx="188">
                  <c:v>156.73109519091787</c:v>
                </c:pt>
                <c:pt idx="189">
                  <c:v>157.89966088353444</c:v>
                </c:pt>
                <c:pt idx="190">
                  <c:v>159.07147829084931</c:v>
                </c:pt>
                <c:pt idx="191">
                  <c:v>160.24653854366022</c:v>
                </c:pt>
                <c:pt idx="192">
                  <c:v>161.42483285018017</c:v>
                </c:pt>
                <c:pt idx="193">
                  <c:v>162.60635249506657</c:v>
                </c:pt>
                <c:pt idx="194">
                  <c:v>163.79108883847729</c:v>
                </c:pt>
                <c:pt idx="195">
                  <c:v>164.97903331513544</c:v>
                </c:pt>
                <c:pt idx="196">
                  <c:v>166.17017743339878</c:v>
                </c:pt>
                <c:pt idx="197">
                  <c:v>167.36451277436495</c:v>
                </c:pt>
                <c:pt idx="198">
                  <c:v>168.56203099096291</c:v>
                </c:pt>
                <c:pt idx="199">
                  <c:v>169.76272380708127</c:v>
                </c:pt>
                <c:pt idx="200">
                  <c:v>170.96658301669726</c:v>
                </c:pt>
                <c:pt idx="201">
                  <c:v>172.17360048302038</c:v>
                </c:pt>
                <c:pt idx="202">
                  <c:v>173.38376813765063</c:v>
                </c:pt>
              </c:numCache>
            </c:numRef>
          </c:xVal>
          <c:yVal>
            <c:numRef>
              <c:f>'Strength analysis calculations'!$N$5:$N$207</c:f>
              <c:numCache>
                <c:formatCode>General</c:formatCode>
                <c:ptCount val="203"/>
                <c:pt idx="0">
                  <c:v>8675.0025570933303</c:v>
                </c:pt>
                <c:pt idx="1">
                  <c:v>8687.5025740200581</c:v>
                </c:pt>
                <c:pt idx="2">
                  <c:v>8705.0026195927185</c:v>
                </c:pt>
                <c:pt idx="3">
                  <c:v>8727.5027156865544</c:v>
                </c:pt>
                <c:pt idx="4">
                  <c:v>8755.0028904272167</c:v>
                </c:pt>
                <c:pt idx="5">
                  <c:v>8787.5031781907601</c:v>
                </c:pt>
                <c:pt idx="6">
                  <c:v>8825.003619598916</c:v>
                </c:pt>
                <c:pt idx="7">
                  <c:v>8867.5042615332932</c:v>
                </c:pt>
                <c:pt idx="8">
                  <c:v>8915.0051571188033</c:v>
                </c:pt>
                <c:pt idx="9">
                  <c:v>8967.5063657331339</c:v>
                </c:pt>
                <c:pt idx="10">
                  <c:v>9025.0079530043804</c:v>
                </c:pt>
                <c:pt idx="11">
                  <c:v>9087.5099908134162</c:v>
                </c:pt>
                <c:pt idx="12">
                  <c:v>9155.0125572915185</c:v>
                </c:pt>
                <c:pt idx="13">
                  <c:v>9227.5157368203745</c:v>
                </c:pt>
                <c:pt idx="14">
                  <c:v>9305.0196200368173</c:v>
                </c:pt>
                <c:pt idx="15">
                  <c:v>9387.524303825714</c:v>
                </c:pt>
                <c:pt idx="16">
                  <c:v>9475.0298913270817</c:v>
                </c:pt>
                <c:pt idx="17">
                  <c:v>9567.5364919337135</c:v>
                </c:pt>
                <c:pt idx="18">
                  <c:v>9665.0442212888047</c:v>
                </c:pt>
                <c:pt idx="19">
                  <c:v>9767.5532012907006</c:v>
                </c:pt>
                <c:pt idx="20">
                  <c:v>9875.0635600952555</c:v>
                </c:pt>
                <c:pt idx="21">
                  <c:v>9987.5754321063669</c:v>
                </c:pt>
                <c:pt idx="22">
                  <c:v>10105.088957985443</c:v>
                </c:pt>
                <c:pt idx="23">
                  <c:v>10227.604284651406</c:v>
                </c:pt>
                <c:pt idx="24">
                  <c:v>10355.121565271214</c:v>
                </c:pt>
                <c:pt idx="25">
                  <c:v>10487.640959278815</c:v>
                </c:pt>
                <c:pt idx="26">
                  <c:v>10625.162632351461</c:v>
                </c:pt>
                <c:pt idx="27">
                  <c:v>10767.686756435754</c:v>
                </c:pt>
                <c:pt idx="28">
                  <c:v>10915.21350972871</c:v>
                </c:pt>
                <c:pt idx="29">
                  <c:v>11067.743076687222</c:v>
                </c:pt>
                <c:pt idx="30">
                  <c:v>11225.275648023327</c:v>
                </c:pt>
                <c:pt idx="31">
                  <c:v>11387.811420716052</c:v>
                </c:pt>
                <c:pt idx="32">
                  <c:v>11555.350597997198</c:v>
                </c:pt>
                <c:pt idx="33">
                  <c:v>11727.893389360819</c:v>
                </c:pt>
                <c:pt idx="34">
                  <c:v>11905.440010565586</c:v>
                </c:pt>
                <c:pt idx="35">
                  <c:v>12087.990683625309</c:v>
                </c:pt>
                <c:pt idx="36">
                  <c:v>12275.545636820789</c:v>
                </c:pt>
                <c:pt idx="37">
                  <c:v>12468.105104695083</c:v>
                </c:pt>
                <c:pt idx="38">
                  <c:v>12665.669328055861</c:v>
                </c:pt>
                <c:pt idx="39">
                  <c:v>12868.23855397067</c:v>
                </c:pt>
                <c:pt idx="40">
                  <c:v>13075.81303577879</c:v>
                </c:pt>
                <c:pt idx="41">
                  <c:v>13288.39303308174</c:v>
                </c:pt>
                <c:pt idx="42">
                  <c:v>13505.97881174804</c:v>
                </c:pt>
                <c:pt idx="43">
                  <c:v>13728.570643913186</c:v>
                </c:pt>
                <c:pt idx="44">
                  <c:v>13956.168807984401</c:v>
                </c:pt>
                <c:pt idx="45">
                  <c:v>14188.773588638265</c:v>
                </c:pt>
                <c:pt idx="46">
                  <c:v>14426.385276815974</c:v>
                </c:pt>
                <c:pt idx="47">
                  <c:v>14669.004169732814</c:v>
                </c:pt>
                <c:pt idx="48">
                  <c:v>14916.630570880543</c:v>
                </c:pt>
                <c:pt idx="49">
                  <c:v>15169.264790017893</c:v>
                </c:pt>
                <c:pt idx="50">
                  <c:v>15426.90714317769</c:v>
                </c:pt>
                <c:pt idx="51">
                  <c:v>15689.557952669235</c:v>
                </c:pt>
                <c:pt idx="52">
                  <c:v>15957.217547083006</c:v>
                </c:pt>
                <c:pt idx="53">
                  <c:v>16229.886261276481</c:v>
                </c:pt>
                <c:pt idx="54">
                  <c:v>16507.564436388333</c:v>
                </c:pt>
                <c:pt idx="55">
                  <c:v>16790.252419840806</c:v>
                </c:pt>
                <c:pt idx="56">
                  <c:v>17077.950565332594</c:v>
                </c:pt>
                <c:pt idx="57">
                  <c:v>17370.65923284123</c:v>
                </c:pt>
                <c:pt idx="58">
                  <c:v>17668.378788627804</c:v>
                </c:pt>
                <c:pt idx="59">
                  <c:v>17971.109605239355</c:v>
                </c:pt>
                <c:pt idx="60">
                  <c:v>18278.852061504102</c:v>
                </c:pt>
                <c:pt idx="61">
                  <c:v>18591.606542538582</c:v>
                </c:pt>
                <c:pt idx="62">
                  <c:v>18909.373439745254</c:v>
                </c:pt>
                <c:pt idx="63">
                  <c:v>19232.153150810162</c:v>
                </c:pt>
                <c:pt idx="64">
                  <c:v>19559.946079714737</c:v>
                </c:pt>
                <c:pt idx="65">
                  <c:v>19892.75263672636</c:v>
                </c:pt>
                <c:pt idx="66">
                  <c:v>20230.573238405446</c:v>
                </c:pt>
                <c:pt idx="67">
                  <c:v>20573.408307607817</c:v>
                </c:pt>
                <c:pt idx="68">
                  <c:v>20921.258273479969</c:v>
                </c:pt>
                <c:pt idx="69">
                  <c:v>21274.12357146381</c:v>
                </c:pt>
                <c:pt idx="70">
                  <c:v>21632.004643303753</c:v>
                </c:pt>
                <c:pt idx="71">
                  <c:v>21994.901937030158</c:v>
                </c:pt>
                <c:pt idx="72">
                  <c:v>22362.815906987733</c:v>
                </c:pt>
                <c:pt idx="73">
                  <c:v>22735.747013811862</c:v>
                </c:pt>
                <c:pt idx="74">
                  <c:v>23113.69572444517</c:v>
                </c:pt>
                <c:pt idx="75">
                  <c:v>23496.662512132811</c:v>
                </c:pt>
                <c:pt idx="76">
                  <c:v>23884.647856422445</c:v>
                </c:pt>
                <c:pt idx="77">
                  <c:v>24277.652243168977</c:v>
                </c:pt>
                <c:pt idx="78">
                  <c:v>24675.676164541685</c:v>
                </c:pt>
                <c:pt idx="79">
                  <c:v>25078.720119014713</c:v>
                </c:pt>
                <c:pt idx="80">
                  <c:v>25486.784611369465</c:v>
                </c:pt>
                <c:pt idx="81">
                  <c:v>25899.870152708809</c:v>
                </c:pt>
                <c:pt idx="82">
                  <c:v>26317.977260442851</c:v>
                </c:pt>
                <c:pt idx="83">
                  <c:v>26741.106458300812</c:v>
                </c:pt>
                <c:pt idx="84">
                  <c:v>27169.258276328612</c:v>
                </c:pt>
                <c:pt idx="85">
                  <c:v>27602.433250888909</c:v>
                </c:pt>
                <c:pt idx="86">
                  <c:v>28040.63192467294</c:v>
                </c:pt>
                <c:pt idx="87">
                  <c:v>28483.854846683909</c:v>
                </c:pt>
                <c:pt idx="88">
                  <c:v>28932.10257225834</c:v>
                </c:pt>
                <c:pt idx="89">
                  <c:v>29385.375663049464</c:v>
                </c:pt>
                <c:pt idx="90">
                  <c:v>29843.674687046208</c:v>
                </c:pt>
                <c:pt idx="91">
                  <c:v>30307.000218566052</c:v>
                </c:pt>
                <c:pt idx="92">
                  <c:v>30775.352838247938</c:v>
                </c:pt>
                <c:pt idx="93">
                  <c:v>31248.733133075959</c:v>
                </c:pt>
                <c:pt idx="94">
                  <c:v>31727.14169635803</c:v>
                </c:pt>
                <c:pt idx="95">
                  <c:v>32210.579127751964</c:v>
                </c:pt>
                <c:pt idx="96">
                  <c:v>32699.046033239392</c:v>
                </c:pt>
                <c:pt idx="97">
                  <c:v>33192.543025149462</c:v>
                </c:pt>
                <c:pt idx="98">
                  <c:v>33691.070722151744</c:v>
                </c:pt>
                <c:pt idx="99">
                  <c:v>34194.629749258573</c:v>
                </c:pt>
                <c:pt idx="100">
                  <c:v>34703.220737834519</c:v>
                </c:pt>
                <c:pt idx="101">
                  <c:v>35216.844325582242</c:v>
                </c:pt>
                <c:pt idx="102">
                  <c:v>35735.501156561353</c:v>
                </c:pt>
                <c:pt idx="103">
                  <c:v>36259.191881176608</c:v>
                </c:pt>
                <c:pt idx="104">
                  <c:v>36787.917156194511</c:v>
                </c:pt>
                <c:pt idx="105">
                  <c:v>37321.677644729076</c:v>
                </c:pt>
                <c:pt idx="106">
                  <c:v>37860.474016256019</c:v>
                </c:pt>
                <c:pt idx="107">
                  <c:v>38404.306946615186</c:v>
                </c:pt>
                <c:pt idx="108">
                  <c:v>38953.177117996274</c:v>
                </c:pt>
                <c:pt idx="109">
                  <c:v>39507.085218967317</c:v>
                </c:pt>
                <c:pt idx="110">
                  <c:v>40066.031944448572</c:v>
                </c:pt>
                <c:pt idx="111">
                  <c:v>40630.017995740985</c:v>
                </c:pt>
                <c:pt idx="112">
                  <c:v>41199.044080504857</c:v>
                </c:pt>
                <c:pt idx="113">
                  <c:v>41773.110912778793</c:v>
                </c:pt>
                <c:pt idx="114">
                  <c:v>42352.219212977332</c:v>
                </c:pt>
                <c:pt idx="115">
                  <c:v>42936.369707888596</c:v>
                </c:pt>
                <c:pt idx="116">
                  <c:v>43525.563130679002</c:v>
                </c:pt>
                <c:pt idx="117">
                  <c:v>44119.800220900368</c:v>
                </c:pt>
                <c:pt idx="118">
                  <c:v>44719.081724485201</c:v>
                </c:pt>
                <c:pt idx="119">
                  <c:v>45323.408393751401</c:v>
                </c:pt>
                <c:pt idx="120">
                  <c:v>45932.780987407044</c:v>
                </c:pt>
                <c:pt idx="121">
                  <c:v>46547.200270550318</c:v>
                </c:pt>
                <c:pt idx="122">
                  <c:v>47166.66701467197</c:v>
                </c:pt>
                <c:pt idx="123">
                  <c:v>47791.181997655229</c:v>
                </c:pt>
                <c:pt idx="124">
                  <c:v>48420.746003785316</c:v>
                </c:pt>
                <c:pt idx="125">
                  <c:v>49055.359823747072</c:v>
                </c:pt>
                <c:pt idx="126">
                  <c:v>49695.024254625008</c:v>
                </c:pt>
                <c:pt idx="127">
                  <c:v>50339.740099907933</c:v>
                </c:pt>
                <c:pt idx="128">
                  <c:v>50989.508169498491</c:v>
                </c:pt>
                <c:pt idx="129">
                  <c:v>51644.329279703736</c:v>
                </c:pt>
                <c:pt idx="130">
                  <c:v>52304.204253239768</c:v>
                </c:pt>
                <c:pt idx="131">
                  <c:v>52969.133919246029</c:v>
                </c:pt>
                <c:pt idx="132">
                  <c:v>53639.119113275745</c:v>
                </c:pt>
                <c:pt idx="133">
                  <c:v>54314.160677298401</c:v>
                </c:pt>
                <c:pt idx="134">
                  <c:v>54994.259459711473</c:v>
                </c:pt>
                <c:pt idx="135">
                  <c:v>55679.416315338152</c:v>
                </c:pt>
                <c:pt idx="136">
                  <c:v>56369.632105422555</c:v>
                </c:pt>
                <c:pt idx="137">
                  <c:v>57064.907697646297</c:v>
                </c:pt>
                <c:pt idx="138">
                  <c:v>57765.243966119066</c:v>
                </c:pt>
                <c:pt idx="139">
                  <c:v>58470.641791392787</c:v>
                </c:pt>
                <c:pt idx="140">
                  <c:v>59181.10206044979</c:v>
                </c:pt>
                <c:pt idx="141">
                  <c:v>59896.625666721775</c:v>
                </c:pt>
                <c:pt idx="142">
                  <c:v>60617.213510080343</c:v>
                </c:pt>
                <c:pt idx="143">
                  <c:v>61342.86649683932</c:v>
                </c:pt>
                <c:pt idx="144">
                  <c:v>62073.585539773747</c:v>
                </c:pt>
                <c:pt idx="145">
                  <c:v>62809.371558098552</c:v>
                </c:pt>
                <c:pt idx="146">
                  <c:v>63550.225477492218</c:v>
                </c:pt>
                <c:pt idx="147">
                  <c:v>64296.148230089733</c:v>
                </c:pt>
                <c:pt idx="148">
                  <c:v>65047.140754484884</c:v>
                </c:pt>
                <c:pt idx="149">
                  <c:v>65803.203995735021</c:v>
                </c:pt>
                <c:pt idx="150">
                  <c:v>66564.338905370561</c:v>
                </c:pt>
                <c:pt idx="151">
                  <c:v>67330.546441380764</c:v>
                </c:pt>
                <c:pt idx="152">
                  <c:v>68101.827568237379</c:v>
                </c:pt>
                <c:pt idx="153">
                  <c:v>68878.183256882839</c:v>
                </c:pt>
                <c:pt idx="154">
                  <c:v>69659.614484739737</c:v>
                </c:pt>
                <c:pt idx="155">
                  <c:v>70446.122235710805</c:v>
                </c:pt>
                <c:pt idx="156">
                  <c:v>71237.707500183693</c:v>
                </c:pt>
                <c:pt idx="157">
                  <c:v>72034.371275037964</c:v>
                </c:pt>
                <c:pt idx="158">
                  <c:v>72836.114563635798</c:v>
                </c:pt>
                <c:pt idx="159">
                  <c:v>73642.93837584315</c:v>
                </c:pt>
                <c:pt idx="160">
                  <c:v>74454.843728010877</c:v>
                </c:pt>
                <c:pt idx="161">
                  <c:v>75271.831643003141</c:v>
                </c:pt>
                <c:pt idx="162">
                  <c:v>76093.903150178448</c:v>
                </c:pt>
                <c:pt idx="163">
                  <c:v>76921.059285403928</c:v>
                </c:pt>
                <c:pt idx="164">
                  <c:v>77753.301091057598</c:v>
                </c:pt>
                <c:pt idx="165">
                  <c:v>78590.629616030797</c:v>
                </c:pt>
                <c:pt idx="166">
                  <c:v>79433.045915725816</c:v>
                </c:pt>
                <c:pt idx="167">
                  <c:v>80280.551052070092</c:v>
                </c:pt>
                <c:pt idx="168">
                  <c:v>81133.14609351386</c:v>
                </c:pt>
                <c:pt idx="169">
                  <c:v>81990.832115027704</c:v>
                </c:pt>
                <c:pt idx="170">
                  <c:v>82853.610198116919</c:v>
                </c:pt>
                <c:pt idx="171">
                  <c:v>83721.481430816624</c:v>
                </c:pt>
                <c:pt idx="172">
                  <c:v>84594.446907698977</c:v>
                </c:pt>
                <c:pt idx="173">
                  <c:v>85472.507729875448</c:v>
                </c:pt>
                <c:pt idx="174">
                  <c:v>86355.665005001691</c:v>
                </c:pt>
                <c:pt idx="175">
                  <c:v>87243.919847272613</c:v>
                </c:pt>
                <c:pt idx="176">
                  <c:v>88137.273377443838</c:v>
                </c:pt>
                <c:pt idx="177">
                  <c:v>89035.726722812789</c:v>
                </c:pt>
                <c:pt idx="178">
                  <c:v>89939.281017244575</c:v>
                </c:pt>
                <c:pt idx="179">
                  <c:v>90847.937401153191</c:v>
                </c:pt>
                <c:pt idx="180">
                  <c:v>91761.69702152512</c:v>
                </c:pt>
                <c:pt idx="181">
                  <c:v>92680.561031909965</c:v>
                </c:pt>
                <c:pt idx="182">
                  <c:v>93604.530592427429</c:v>
                </c:pt>
                <c:pt idx="183">
                  <c:v>94533.606869772033</c:v>
                </c:pt>
                <c:pt idx="184">
                  <c:v>95467.791037220435</c:v>
                </c:pt>
                <c:pt idx="185">
                  <c:v>96407.084274624052</c:v>
                </c:pt>
                <c:pt idx="186">
                  <c:v>97351.487768425897</c:v>
                </c:pt>
                <c:pt idx="187">
                  <c:v>98301.002711650872</c:v>
                </c:pt>
                <c:pt idx="188">
                  <c:v>99255.630303920101</c:v>
                </c:pt>
                <c:pt idx="189">
                  <c:v>100215.37175145571</c:v>
                </c:pt>
                <c:pt idx="190">
                  <c:v>101180.22826707122</c:v>
                </c:pt>
                <c:pt idx="191">
                  <c:v>102150.20107018822</c:v>
                </c:pt>
                <c:pt idx="192">
                  <c:v>103125.29138683878</c:v>
                </c:pt>
                <c:pt idx="193">
                  <c:v>104105.50044966054</c:v>
                </c:pt>
                <c:pt idx="194">
                  <c:v>105090.82949790877</c:v>
                </c:pt>
                <c:pt idx="195">
                  <c:v>106081.27977746089</c:v>
                </c:pt>
                <c:pt idx="196">
                  <c:v>107076.85254080959</c:v>
                </c:pt>
                <c:pt idx="197">
                  <c:v>108077.5490470839</c:v>
                </c:pt>
                <c:pt idx="198">
                  <c:v>109083.37056203524</c:v>
                </c:pt>
                <c:pt idx="199">
                  <c:v>110094.31835805374</c:v>
                </c:pt>
                <c:pt idx="200">
                  <c:v>111110.39371416847</c:v>
                </c:pt>
                <c:pt idx="201">
                  <c:v>112131.59791604968</c:v>
                </c:pt>
                <c:pt idx="202">
                  <c:v>113157.93225601352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DE3C-486F-8618-561D5559239A}"/>
            </c:ext>
          </c:extLst>
        </c:ser>
        <c:ser>
          <c:idx val="1"/>
          <c:order val="1"/>
          <c:spPr>
            <a:ln w="571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'Strength analysis calculations'!$Q$5:$Q$207</c:f>
              <c:numCache>
                <c:formatCode>General</c:formatCode>
                <c:ptCount val="203"/>
                <c:pt idx="0">
                  <c:v>4.7574834194695645</c:v>
                </c:pt>
                <c:pt idx="1">
                  <c:v>5.830899217782239</c:v>
                </c:pt>
                <c:pt idx="2">
                  <c:v>6.7397194680194605</c:v>
                </c:pt>
                <c:pt idx="3">
                  <c:v>7.5449660215117937</c:v>
                </c:pt>
                <c:pt idx="4">
                  <c:v>8.278105603368429</c:v>
                </c:pt>
                <c:pt idx="5">
                  <c:v>8.9579542526322271</c:v>
                </c:pt>
                <c:pt idx="6">
                  <c:v>9.5968647999271255</c:v>
                </c:pt>
                <c:pt idx="7">
                  <c:v>10.20348994346749</c:v>
                </c:pt>
                <c:pt idx="8">
                  <c:v>10.784187014392954</c:v>
                </c:pt>
                <c:pt idx="9">
                  <c:v>11.343801297060901</c:v>
                </c:pt>
                <c:pt idx="10">
                  <c:v>11.886134294323705</c:v>
                </c:pt>
                <c:pt idx="11">
                  <c:v>12.414239329732203</c:v>
                </c:pt>
                <c:pt idx="12">
                  <c:v>12.93061653473027</c:v>
                </c:pt>
                <c:pt idx="13">
                  <c:v>13.43734621714194</c:v>
                </c:pt>
                <c:pt idx="14">
                  <c:v>13.936182908216322</c:v>
                </c:pt>
                <c:pt idx="15">
                  <c:v>14.42862343236501</c:v>
                </c:pt>
                <c:pt idx="16">
                  <c:v>14.915957299651343</c:v>
                </c:pt>
                <c:pt idx="17">
                  <c:v>15.3993047571559</c:v>
                </c:pt>
                <c:pt idx="18">
                  <c:v>15.879646029618195</c:v>
                </c:pt>
                <c:pt idx="19">
                  <c:v>16.357844144425115</c:v>
                </c:pt>
                <c:pt idx="20">
                  <c:v>16.834663002178019</c:v>
                </c:pt>
                <c:pt idx="21">
                  <c:v>17.310781868002891</c:v>
                </c:pt>
                <c:pt idx="22">
                  <c:v>17.786807129739625</c:v>
                </c:pt>
                <c:pt idx="23">
                  <c:v>18.263281941917345</c:v>
                </c:pt>
                <c:pt idx="24">
                  <c:v>18.74069421480975</c:v>
                </c:pt>
                <c:pt idx="25">
                  <c:v>19.219483293914209</c:v>
                </c:pt>
                <c:pt idx="26">
                  <c:v>19.700045592518936</c:v>
                </c:pt>
                <c:pt idx="27">
                  <c:v>20.182739379536745</c:v>
                </c:pt>
                <c:pt idx="28">
                  <c:v>20.667888879551999</c:v>
                </c:pt>
                <c:pt idx="29">
                  <c:v>21.155787808312617</c:v>
                </c:pt>
                <c:pt idx="30">
                  <c:v>21.646702441074211</c:v>
                </c:pt>
                <c:pt idx="31">
                  <c:v>22.140874291554727</c:v>
                </c:pt>
                <c:pt idx="32">
                  <c:v>22.638522463937829</c:v>
                </c:pt>
                <c:pt idx="33">
                  <c:v>23.13984572855928</c:v>
                </c:pt>
                <c:pt idx="34">
                  <c:v>23.645024362488087</c:v>
                </c:pt>
                <c:pt idx="35">
                  <c:v>24.154221788841465</c:v>
                </c:pt>
                <c:pt idx="36">
                  <c:v>24.667586042817028</c:v>
                </c:pt>
                <c:pt idx="37">
                  <c:v>25.18525108762891</c:v>
                </c:pt>
                <c:pt idx="38">
                  <c:v>25.707337999782371</c:v>
                </c:pt>
                <c:pt idx="39">
                  <c:v>26.233956039990407</c:v>
                </c:pt>
                <c:pt idx="40">
                  <c:v>26.765203623549976</c:v>
                </c:pt>
                <c:pt idx="41">
                  <c:v>27.30116920186299</c:v>
                </c:pt>
                <c:pt idx="42">
                  <c:v>27.841932065155362</c:v>
                </c:pt>
                <c:pt idx="43">
                  <c:v>28.387563074978054</c:v>
                </c:pt>
                <c:pt idx="44">
                  <c:v>28.938125333926347</c:v>
                </c:pt>
                <c:pt idx="45">
                  <c:v>29.493674799006723</c:v>
                </c:pt>
                <c:pt idx="46">
                  <c:v>30.054260844270342</c:v>
                </c:pt>
                <c:pt idx="47">
                  <c:v>30.61992677764594</c:v>
                </c:pt>
                <c:pt idx="48">
                  <c:v>31.190710316272522</c:v>
                </c:pt>
                <c:pt idx="49">
                  <c:v>31.76664402414443</c:v>
                </c:pt>
                <c:pt idx="50">
                  <c:v>32.347755715483352</c:v>
                </c:pt>
                <c:pt idx="51">
                  <c:v>32.934068826828202</c:v>
                </c:pt>
                <c:pt idx="52">
                  <c:v>33.525602760542228</c:v>
                </c:pt>
                <c:pt idx="53">
                  <c:v>34.122373202127939</c:v>
                </c:pt>
                <c:pt idx="54">
                  <c:v>34.724392413570101</c:v>
                </c:pt>
                <c:pt idx="55">
                  <c:v>35.331669504622148</c:v>
                </c:pt>
                <c:pt idx="56">
                  <c:v>35.944210683809601</c:v>
                </c:pt>
                <c:pt idx="57">
                  <c:v>36.56201949077677</c:v>
                </c:pt>
                <c:pt idx="58">
                  <c:v>37.185097011429725</c:v>
                </c:pt>
                <c:pt idx="59">
                  <c:v>37.813442077201124</c:v>
                </c:pt>
                <c:pt idx="60">
                  <c:v>38.447051449647184</c:v>
                </c:pt>
                <c:pt idx="61">
                  <c:v>39.085919991507964</c:v>
                </c:pt>
                <c:pt idx="62">
                  <c:v>39.730040825227171</c:v>
                </c:pt>
                <c:pt idx="63">
                  <c:v>40.379405479875885</c:v>
                </c:pt>
                <c:pt idx="64">
                  <c:v>41.034004027354229</c:v>
                </c:pt>
                <c:pt idx="65">
                  <c:v>41.693825208624091</c:v>
                </c:pt>
                <c:pt idx="66">
                  <c:v>42.358856550740612</c:v>
                </c:pt>
                <c:pt idx="67">
                  <c:v>43.029084475331807</c:v>
                </c:pt>
                <c:pt idx="68">
                  <c:v>43.704494399143584</c:v>
                </c:pt>
                <c:pt idx="69">
                  <c:v>44.385070827239971</c:v>
                </c:pt>
                <c:pt idx="70">
                  <c:v>45.070797439380797</c:v>
                </c:pt>
                <c:pt idx="71">
                  <c:v>45.761657170039157</c:v>
                </c:pt>
                <c:pt idx="72">
                  <c:v>46.457632282583859</c:v>
                </c:pt>
                <c:pt idx="73">
                  <c:v>47.158704437945481</c:v>
                </c:pt>
                <c:pt idx="74">
                  <c:v>47.864854758251518</c:v>
                </c:pt>
                <c:pt idx="75">
                  <c:v>48.576063885727237</c:v>
                </c:pt>
                <c:pt idx="76">
                  <c:v>49.292312037224008</c:v>
                </c:pt>
                <c:pt idx="77">
                  <c:v>50.013579054685465</c:v>
                </c:pt>
                <c:pt idx="78">
                  <c:v>50.739844451837214</c:v>
                </c:pt>
                <c:pt idx="79">
                  <c:v>51.47108745734802</c:v>
                </c:pt>
                <c:pt idx="80">
                  <c:v>52.20728705474027</c:v>
                </c:pt>
                <c:pt idx="81">
                  <c:v>52.948422019280031</c:v>
                </c:pt>
                <c:pt idx="82">
                  <c:v>53.694470952020126</c:v>
                </c:pt>
                <c:pt idx="83">
                  <c:v>54.445412311250912</c:v>
                </c:pt>
                <c:pt idx="84">
                  <c:v>55.201224441502681</c:v>
                </c:pt>
                <c:pt idx="85">
                  <c:v>55.961885600288753</c:v>
                </c:pt>
                <c:pt idx="86">
                  <c:v>56.727373982758586</c:v>
                </c:pt>
                <c:pt idx="87">
                  <c:v>57.497667744368925</c:v>
                </c:pt>
                <c:pt idx="88">
                  <c:v>58.272745021778192</c:v>
                </c:pt>
                <c:pt idx="89">
                  <c:v>59.052583952016263</c:v>
                </c:pt>
                <c:pt idx="90">
                  <c:v>59.837162690123115</c:v>
                </c:pt>
                <c:pt idx="91">
                  <c:v>60.626459425305491</c:v>
                </c:pt>
                <c:pt idx="92">
                  <c:v>61.4204523957414</c:v>
                </c:pt>
                <c:pt idx="93">
                  <c:v>62.219119902159527</c:v>
                </c:pt>
                <c:pt idx="94">
                  <c:v>63.022440320206769</c:v>
                </c:pt>
                <c:pt idx="95">
                  <c:v>63.830392111780228</c:v>
                </c:pt>
                <c:pt idx="96">
                  <c:v>64.64295383530127</c:v>
                </c:pt>
                <c:pt idx="97">
                  <c:v>65.460104155105554</c:v>
                </c:pt>
                <c:pt idx="98">
                  <c:v>66.281821849935881</c:v>
                </c:pt>
                <c:pt idx="99">
                  <c:v>67.108085820640298</c:v>
                </c:pt>
                <c:pt idx="100">
                  <c:v>67.938875097131159</c:v>
                </c:pt>
                <c:pt idx="101">
                  <c:v>68.774168844629003</c:v>
                </c:pt>
                <c:pt idx="102">
                  <c:v>69.613946369297381</c:v>
                </c:pt>
                <c:pt idx="103">
                  <c:v>70.458187123252458</c:v>
                </c:pt>
                <c:pt idx="104">
                  <c:v>71.306870709049491</c:v>
                </c:pt>
                <c:pt idx="105">
                  <c:v>72.159976883628403</c:v>
                </c:pt>
                <c:pt idx="106">
                  <c:v>73.017485561814098</c:v>
                </c:pt>
                <c:pt idx="107">
                  <c:v>73.879376819367423</c:v>
                </c:pt>
                <c:pt idx="108">
                  <c:v>74.745630895615179</c:v>
                </c:pt>
                <c:pt idx="109">
                  <c:v>75.616228195746402</c:v>
                </c:pt>
                <c:pt idx="110">
                  <c:v>76.491149292709835</c:v>
                </c:pt>
                <c:pt idx="111">
                  <c:v>77.370374928843859</c:v>
                </c:pt>
                <c:pt idx="112">
                  <c:v>78.253886017163055</c:v>
                </c:pt>
                <c:pt idx="113">
                  <c:v>79.141663642410734</c:v>
                </c:pt>
                <c:pt idx="114">
                  <c:v>80.033689061839524</c:v>
                </c:pt>
                <c:pt idx="115">
                  <c:v>80.929943705760408</c:v>
                </c:pt>
                <c:pt idx="116">
                  <c:v>81.830409177885059</c:v>
                </c:pt>
                <c:pt idx="117">
                  <c:v>82.735067255474277</c:v>
                </c:pt>
                <c:pt idx="118">
                  <c:v>83.643899889294744</c:v>
                </c:pt>
                <c:pt idx="119">
                  <c:v>84.55688920341936</c:v>
                </c:pt>
                <c:pt idx="120">
                  <c:v>85.474017494875596</c:v>
                </c:pt>
                <c:pt idx="121">
                  <c:v>86.395267233150605</c:v>
                </c:pt>
                <c:pt idx="122">
                  <c:v>87.320621059571138</c:v>
                </c:pt>
                <c:pt idx="123">
                  <c:v>88.25006178656561</c:v>
                </c:pt>
                <c:pt idx="124">
                  <c:v>89.183572396828694</c:v>
                </c:pt>
                <c:pt idx="125">
                  <c:v>90.121136042379064</c:v>
                </c:pt>
                <c:pt idx="126">
                  <c:v>91.062736043531785</c:v>
                </c:pt>
                <c:pt idx="127">
                  <c:v>92.008355887796057</c:v>
                </c:pt>
                <c:pt idx="128">
                  <c:v>92.957979228705454</c:v>
                </c:pt>
                <c:pt idx="129">
                  <c:v>93.911589884567036</c:v>
                </c:pt>
                <c:pt idx="130">
                  <c:v>94.869171837165041</c:v>
                </c:pt>
                <c:pt idx="131">
                  <c:v>95.830709230421959</c:v>
                </c:pt>
                <c:pt idx="132">
                  <c:v>96.796186368991656</c:v>
                </c:pt>
                <c:pt idx="133">
                  <c:v>97.765587716822949</c:v>
                </c:pt>
                <c:pt idx="134">
                  <c:v>98.738897895695573</c:v>
                </c:pt>
                <c:pt idx="135">
                  <c:v>99.716101683711898</c:v>
                </c:pt>
                <c:pt idx="136">
                  <c:v>100.69718401375958</c:v>
                </c:pt>
                <c:pt idx="137">
                  <c:v>101.68212997196993</c:v>
                </c:pt>
                <c:pt idx="138">
                  <c:v>102.67092479613306</c:v>
                </c:pt>
                <c:pt idx="139">
                  <c:v>103.66355387411807</c:v>
                </c:pt>
                <c:pt idx="140">
                  <c:v>104.66000274225632</c:v>
                </c:pt>
                <c:pt idx="141">
                  <c:v>105.66025708374177</c:v>
                </c:pt>
                <c:pt idx="142">
                  <c:v>106.66430272699807</c:v>
                </c:pt>
                <c:pt idx="143">
                  <c:v>107.67212564405055</c:v>
                </c:pt>
                <c:pt idx="144">
                  <c:v>108.68371194890963</c:v>
                </c:pt>
                <c:pt idx="145">
                  <c:v>109.69904789591735</c:v>
                </c:pt>
                <c:pt idx="146">
                  <c:v>110.71811987813402</c:v>
                </c:pt>
                <c:pt idx="147">
                  <c:v>111.74091442570032</c:v>
                </c:pt>
                <c:pt idx="148">
                  <c:v>112.76741820421128</c:v>
                </c:pt>
                <c:pt idx="149">
                  <c:v>113.7976180130978</c:v>
                </c:pt>
                <c:pt idx="150">
                  <c:v>114.83150078401901</c:v>
                </c:pt>
                <c:pt idx="151">
                  <c:v>115.86905357924155</c:v>
                </c:pt>
                <c:pt idx="152">
                  <c:v>116.91026359006099</c:v>
                </c:pt>
                <c:pt idx="153">
                  <c:v>117.95511813520208</c:v>
                </c:pt>
                <c:pt idx="154">
                  <c:v>119.00360465924854</c:v>
                </c:pt>
                <c:pt idx="155">
                  <c:v>120.05571073107595</c:v>
                </c:pt>
                <c:pt idx="156">
                  <c:v>121.11142404230164</c:v>
                </c:pt>
                <c:pt idx="157">
                  <c:v>122.17073240574882</c:v>
                </c:pt>
                <c:pt idx="158">
                  <c:v>123.23362375391119</c:v>
                </c:pt>
                <c:pt idx="159">
                  <c:v>124.30008613745686</c:v>
                </c:pt>
                <c:pt idx="160">
                  <c:v>125.37010772371363</c:v>
                </c:pt>
                <c:pt idx="161">
                  <c:v>126.44367679520889</c:v>
                </c:pt>
                <c:pt idx="162">
                  <c:v>127.52078174818502</c:v>
                </c:pt>
                <c:pt idx="163">
                  <c:v>128.60141109115864</c:v>
                </c:pt>
                <c:pt idx="164">
                  <c:v>129.68555344348556</c:v>
                </c:pt>
                <c:pt idx="165">
                  <c:v>130.77319753394241</c:v>
                </c:pt>
                <c:pt idx="166">
                  <c:v>131.86433219932047</c:v>
                </c:pt>
                <c:pt idx="167">
                  <c:v>132.95894638304978</c:v>
                </c:pt>
                <c:pt idx="168">
                  <c:v>134.05702913382646</c:v>
                </c:pt>
                <c:pt idx="169">
                  <c:v>135.15856960425683</c:v>
                </c:pt>
                <c:pt idx="170">
                  <c:v>136.2635570495319</c:v>
                </c:pt>
                <c:pt idx="171">
                  <c:v>137.37198082610342</c:v>
                </c:pt>
                <c:pt idx="172">
                  <c:v>138.48383039038654</c:v>
                </c:pt>
                <c:pt idx="173">
                  <c:v>139.59909529747526</c:v>
                </c:pt>
                <c:pt idx="174">
                  <c:v>140.71776519987753</c:v>
                </c:pt>
                <c:pt idx="175">
                  <c:v>141.83982984625848</c:v>
                </c:pt>
                <c:pt idx="176">
                  <c:v>142.96527908022267</c:v>
                </c:pt>
                <c:pt idx="177">
                  <c:v>144.09410283907982</c:v>
                </c:pt>
                <c:pt idx="178">
                  <c:v>145.22629115266395</c:v>
                </c:pt>
                <c:pt idx="179">
                  <c:v>146.36183414213266</c:v>
                </c:pt>
                <c:pt idx="180">
                  <c:v>147.50072201881747</c:v>
                </c:pt>
                <c:pt idx="181">
                  <c:v>148.64294508306349</c:v>
                </c:pt>
                <c:pt idx="182">
                  <c:v>149.78849372309932</c:v>
                </c:pt>
                <c:pt idx="183">
                  <c:v>150.93735841392035</c:v>
                </c:pt>
                <c:pt idx="184">
                  <c:v>152.08952971619064</c:v>
                </c:pt>
                <c:pt idx="185">
                  <c:v>153.24499827514902</c:v>
                </c:pt>
                <c:pt idx="186">
                  <c:v>154.40375481954956</c:v>
                </c:pt>
                <c:pt idx="187">
                  <c:v>155.56579016059737</c:v>
                </c:pt>
                <c:pt idx="188">
                  <c:v>156.73109519091787</c:v>
                </c:pt>
                <c:pt idx="189">
                  <c:v>157.89966088353444</c:v>
                </c:pt>
                <c:pt idx="190">
                  <c:v>159.07147829084931</c:v>
                </c:pt>
                <c:pt idx="191">
                  <c:v>160.24653854366022</c:v>
                </c:pt>
                <c:pt idx="192">
                  <c:v>161.42483285018017</c:v>
                </c:pt>
                <c:pt idx="193">
                  <c:v>162.60635249506657</c:v>
                </c:pt>
                <c:pt idx="194">
                  <c:v>163.79108883847729</c:v>
                </c:pt>
                <c:pt idx="195">
                  <c:v>164.97903331513544</c:v>
                </c:pt>
                <c:pt idx="196">
                  <c:v>166.17017743339878</c:v>
                </c:pt>
                <c:pt idx="197">
                  <c:v>167.36451277436495</c:v>
                </c:pt>
                <c:pt idx="198">
                  <c:v>168.56203099096291</c:v>
                </c:pt>
                <c:pt idx="199">
                  <c:v>169.76272380708127</c:v>
                </c:pt>
                <c:pt idx="200">
                  <c:v>170.96658301669726</c:v>
                </c:pt>
                <c:pt idx="201">
                  <c:v>172.17360048302038</c:v>
                </c:pt>
                <c:pt idx="202">
                  <c:v>173.38376813765063</c:v>
                </c:pt>
              </c:numCache>
            </c:numRef>
          </c:xVal>
          <c:yVal>
            <c:numRef>
              <c:f>'Strength analysis calculations'!$S$5:$S$207</c:f>
              <c:numCache>
                <c:formatCode>General</c:formatCode>
                <c:ptCount val="203"/>
                <c:pt idx="0">
                  <c:v>71068.62000000001</c:v>
                </c:pt>
                <c:pt idx="1">
                  <c:v>71068.62000000001</c:v>
                </c:pt>
                <c:pt idx="2">
                  <c:v>71068.62000000001</c:v>
                </c:pt>
                <c:pt idx="3">
                  <c:v>71068.62000000001</c:v>
                </c:pt>
                <c:pt idx="4">
                  <c:v>71068.62000000001</c:v>
                </c:pt>
                <c:pt idx="5">
                  <c:v>71068.62000000001</c:v>
                </c:pt>
                <c:pt idx="6">
                  <c:v>71068.62000000001</c:v>
                </c:pt>
                <c:pt idx="7">
                  <c:v>71068.62000000001</c:v>
                </c:pt>
                <c:pt idx="8">
                  <c:v>71068.62000000001</c:v>
                </c:pt>
                <c:pt idx="9">
                  <c:v>71068.62000000001</c:v>
                </c:pt>
                <c:pt idx="10">
                  <c:v>71068.62000000001</c:v>
                </c:pt>
                <c:pt idx="11">
                  <c:v>71068.62000000001</c:v>
                </c:pt>
                <c:pt idx="12">
                  <c:v>71068.62000000001</c:v>
                </c:pt>
                <c:pt idx="13">
                  <c:v>71068.62000000001</c:v>
                </c:pt>
                <c:pt idx="14">
                  <c:v>71068.62000000001</c:v>
                </c:pt>
                <c:pt idx="15">
                  <c:v>71068.62000000001</c:v>
                </c:pt>
                <c:pt idx="16">
                  <c:v>71068.62000000001</c:v>
                </c:pt>
                <c:pt idx="17">
                  <c:v>71068.62000000001</c:v>
                </c:pt>
                <c:pt idx="18">
                  <c:v>71068.62000000001</c:v>
                </c:pt>
                <c:pt idx="19">
                  <c:v>71068.62000000001</c:v>
                </c:pt>
                <c:pt idx="20">
                  <c:v>71068.62000000001</c:v>
                </c:pt>
                <c:pt idx="21">
                  <c:v>71068.62000000001</c:v>
                </c:pt>
                <c:pt idx="22">
                  <c:v>71068.62000000001</c:v>
                </c:pt>
                <c:pt idx="23">
                  <c:v>71068.62000000001</c:v>
                </c:pt>
                <c:pt idx="24">
                  <c:v>71068.62000000001</c:v>
                </c:pt>
                <c:pt idx="25">
                  <c:v>71068.62000000001</c:v>
                </c:pt>
                <c:pt idx="26">
                  <c:v>71068.62000000001</c:v>
                </c:pt>
                <c:pt idx="27">
                  <c:v>71068.62000000001</c:v>
                </c:pt>
                <c:pt idx="28">
                  <c:v>71068.62000000001</c:v>
                </c:pt>
                <c:pt idx="29">
                  <c:v>71068.62000000001</c:v>
                </c:pt>
                <c:pt idx="30">
                  <c:v>71068.62000000001</c:v>
                </c:pt>
                <c:pt idx="31">
                  <c:v>71068.62000000001</c:v>
                </c:pt>
                <c:pt idx="32">
                  <c:v>71068.62000000001</c:v>
                </c:pt>
                <c:pt idx="33">
                  <c:v>71068.62000000001</c:v>
                </c:pt>
                <c:pt idx="34">
                  <c:v>71068.62000000001</c:v>
                </c:pt>
                <c:pt idx="35">
                  <c:v>71068.62000000001</c:v>
                </c:pt>
                <c:pt idx="36">
                  <c:v>71068.62000000001</c:v>
                </c:pt>
                <c:pt idx="37">
                  <c:v>71068.62000000001</c:v>
                </c:pt>
                <c:pt idx="38">
                  <c:v>71068.62000000001</c:v>
                </c:pt>
                <c:pt idx="39">
                  <c:v>71068.62000000001</c:v>
                </c:pt>
                <c:pt idx="40">
                  <c:v>71068.62000000001</c:v>
                </c:pt>
                <c:pt idx="41">
                  <c:v>71068.62000000001</c:v>
                </c:pt>
                <c:pt idx="42">
                  <c:v>71068.62000000001</c:v>
                </c:pt>
                <c:pt idx="43">
                  <c:v>71068.62000000001</c:v>
                </c:pt>
                <c:pt idx="44">
                  <c:v>71068.62000000001</c:v>
                </c:pt>
                <c:pt idx="45">
                  <c:v>71068.62000000001</c:v>
                </c:pt>
                <c:pt idx="46">
                  <c:v>71068.62000000001</c:v>
                </c:pt>
                <c:pt idx="47">
                  <c:v>71068.62000000001</c:v>
                </c:pt>
                <c:pt idx="48">
                  <c:v>71068.62000000001</c:v>
                </c:pt>
                <c:pt idx="49">
                  <c:v>71068.62000000001</c:v>
                </c:pt>
                <c:pt idx="50">
                  <c:v>71068.62000000001</c:v>
                </c:pt>
                <c:pt idx="51">
                  <c:v>71068.62000000001</c:v>
                </c:pt>
                <c:pt idx="52">
                  <c:v>71068.62000000001</c:v>
                </c:pt>
                <c:pt idx="53">
                  <c:v>71068.62000000001</c:v>
                </c:pt>
                <c:pt idx="54">
                  <c:v>71068.62000000001</c:v>
                </c:pt>
                <c:pt idx="55">
                  <c:v>71068.62000000001</c:v>
                </c:pt>
                <c:pt idx="56">
                  <c:v>71068.62000000001</c:v>
                </c:pt>
                <c:pt idx="57">
                  <c:v>71068.62000000001</c:v>
                </c:pt>
                <c:pt idx="58">
                  <c:v>71068.62000000001</c:v>
                </c:pt>
                <c:pt idx="59">
                  <c:v>71068.62000000001</c:v>
                </c:pt>
                <c:pt idx="60">
                  <c:v>71068.62000000001</c:v>
                </c:pt>
                <c:pt idx="61">
                  <c:v>71068.62000000001</c:v>
                </c:pt>
                <c:pt idx="62">
                  <c:v>71068.62000000001</c:v>
                </c:pt>
                <c:pt idx="63">
                  <c:v>71068.62000000001</c:v>
                </c:pt>
                <c:pt idx="64">
                  <c:v>71068.62000000001</c:v>
                </c:pt>
                <c:pt idx="65">
                  <c:v>71068.62000000001</c:v>
                </c:pt>
                <c:pt idx="66">
                  <c:v>71068.62000000001</c:v>
                </c:pt>
                <c:pt idx="67">
                  <c:v>71068.62000000001</c:v>
                </c:pt>
                <c:pt idx="68">
                  <c:v>71068.62000000001</c:v>
                </c:pt>
                <c:pt idx="69">
                  <c:v>71068.62000000001</c:v>
                </c:pt>
                <c:pt idx="70">
                  <c:v>71068.62000000001</c:v>
                </c:pt>
                <c:pt idx="71">
                  <c:v>71068.62000000001</c:v>
                </c:pt>
                <c:pt idx="72">
                  <c:v>71068.62000000001</c:v>
                </c:pt>
                <c:pt idx="73">
                  <c:v>71068.62000000001</c:v>
                </c:pt>
                <c:pt idx="74">
                  <c:v>71068.62000000001</c:v>
                </c:pt>
                <c:pt idx="75">
                  <c:v>71068.62000000001</c:v>
                </c:pt>
                <c:pt idx="76">
                  <c:v>71068.62000000001</c:v>
                </c:pt>
                <c:pt idx="77">
                  <c:v>71068.62000000001</c:v>
                </c:pt>
                <c:pt idx="78">
                  <c:v>71068.62000000001</c:v>
                </c:pt>
                <c:pt idx="79">
                  <c:v>71068.62000000001</c:v>
                </c:pt>
                <c:pt idx="80">
                  <c:v>71068.62000000001</c:v>
                </c:pt>
                <c:pt idx="81">
                  <c:v>71068.62000000001</c:v>
                </c:pt>
                <c:pt idx="82">
                  <c:v>71068.62000000001</c:v>
                </c:pt>
                <c:pt idx="83">
                  <c:v>71068.62000000001</c:v>
                </c:pt>
                <c:pt idx="84">
                  <c:v>71068.62000000001</c:v>
                </c:pt>
                <c:pt idx="85">
                  <c:v>71068.62000000001</c:v>
                </c:pt>
                <c:pt idx="86">
                  <c:v>71068.62000000001</c:v>
                </c:pt>
                <c:pt idx="87">
                  <c:v>71068.62000000001</c:v>
                </c:pt>
                <c:pt idx="88">
                  <c:v>71068.62000000001</c:v>
                </c:pt>
                <c:pt idx="89">
                  <c:v>71068.62000000001</c:v>
                </c:pt>
                <c:pt idx="90">
                  <c:v>71068.62000000001</c:v>
                </c:pt>
                <c:pt idx="91">
                  <c:v>71068.62000000001</c:v>
                </c:pt>
                <c:pt idx="92">
                  <c:v>71068.62000000001</c:v>
                </c:pt>
                <c:pt idx="93">
                  <c:v>71068.62000000001</c:v>
                </c:pt>
                <c:pt idx="94">
                  <c:v>71068.62000000001</c:v>
                </c:pt>
                <c:pt idx="95">
                  <c:v>71068.62000000001</c:v>
                </c:pt>
                <c:pt idx="96">
                  <c:v>71068.62000000001</c:v>
                </c:pt>
                <c:pt idx="97">
                  <c:v>71068.62000000001</c:v>
                </c:pt>
                <c:pt idx="98">
                  <c:v>71068.62000000001</c:v>
                </c:pt>
                <c:pt idx="99">
                  <c:v>71068.62000000001</c:v>
                </c:pt>
                <c:pt idx="100">
                  <c:v>71068.62000000001</c:v>
                </c:pt>
                <c:pt idx="101">
                  <c:v>71068.62000000001</c:v>
                </c:pt>
                <c:pt idx="102">
                  <c:v>71068.62000000001</c:v>
                </c:pt>
                <c:pt idx="103">
                  <c:v>71068.62000000001</c:v>
                </c:pt>
                <c:pt idx="104">
                  <c:v>71068.62000000001</c:v>
                </c:pt>
                <c:pt idx="105">
                  <c:v>71068.62000000001</c:v>
                </c:pt>
                <c:pt idx="106">
                  <c:v>71068.62000000001</c:v>
                </c:pt>
                <c:pt idx="107">
                  <c:v>71068.62000000001</c:v>
                </c:pt>
                <c:pt idx="108">
                  <c:v>71068.62000000001</c:v>
                </c:pt>
                <c:pt idx="109">
                  <c:v>71068.62000000001</c:v>
                </c:pt>
                <c:pt idx="110">
                  <c:v>71068.62000000001</c:v>
                </c:pt>
                <c:pt idx="111">
                  <c:v>71068.62000000001</c:v>
                </c:pt>
                <c:pt idx="112">
                  <c:v>71068.62000000001</c:v>
                </c:pt>
                <c:pt idx="113">
                  <c:v>71068.62000000001</c:v>
                </c:pt>
                <c:pt idx="114">
                  <c:v>71068.62000000001</c:v>
                </c:pt>
                <c:pt idx="115">
                  <c:v>71068.62000000001</c:v>
                </c:pt>
                <c:pt idx="116">
                  <c:v>71068.62000000001</c:v>
                </c:pt>
                <c:pt idx="117">
                  <c:v>71068.62000000001</c:v>
                </c:pt>
                <c:pt idx="118">
                  <c:v>71068.62000000001</c:v>
                </c:pt>
                <c:pt idx="119">
                  <c:v>71068.62000000001</c:v>
                </c:pt>
                <c:pt idx="120">
                  <c:v>71068.62000000001</c:v>
                </c:pt>
                <c:pt idx="121">
                  <c:v>71068.62000000001</c:v>
                </c:pt>
                <c:pt idx="122">
                  <c:v>71068.62000000001</c:v>
                </c:pt>
                <c:pt idx="123">
                  <c:v>71068.62000000001</c:v>
                </c:pt>
                <c:pt idx="124">
                  <c:v>71068.62000000001</c:v>
                </c:pt>
                <c:pt idx="125">
                  <c:v>71068.62000000001</c:v>
                </c:pt>
                <c:pt idx="126">
                  <c:v>71068.62000000001</c:v>
                </c:pt>
                <c:pt idx="127">
                  <c:v>71068.62000000001</c:v>
                </c:pt>
                <c:pt idx="128">
                  <c:v>71068.62000000001</c:v>
                </c:pt>
                <c:pt idx="129">
                  <c:v>71068.62000000001</c:v>
                </c:pt>
                <c:pt idx="130">
                  <c:v>71068.62000000001</c:v>
                </c:pt>
                <c:pt idx="131">
                  <c:v>71068.62000000001</c:v>
                </c:pt>
                <c:pt idx="132">
                  <c:v>71068.62000000001</c:v>
                </c:pt>
                <c:pt idx="133">
                  <c:v>71068.62000000001</c:v>
                </c:pt>
                <c:pt idx="134">
                  <c:v>71068.62000000001</c:v>
                </c:pt>
                <c:pt idx="135">
                  <c:v>71068.62000000001</c:v>
                </c:pt>
                <c:pt idx="136">
                  <c:v>71068.62000000001</c:v>
                </c:pt>
                <c:pt idx="137">
                  <c:v>71068.62000000001</c:v>
                </c:pt>
                <c:pt idx="138">
                  <c:v>71068.62000000001</c:v>
                </c:pt>
                <c:pt idx="139">
                  <c:v>71068.62000000001</c:v>
                </c:pt>
                <c:pt idx="140">
                  <c:v>71068.62000000001</c:v>
                </c:pt>
                <c:pt idx="141">
                  <c:v>71068.62000000001</c:v>
                </c:pt>
                <c:pt idx="142">
                  <c:v>71068.62000000001</c:v>
                </c:pt>
                <c:pt idx="143">
                  <c:v>71068.62000000001</c:v>
                </c:pt>
                <c:pt idx="144">
                  <c:v>71068.62000000001</c:v>
                </c:pt>
                <c:pt idx="145">
                  <c:v>71068.62000000001</c:v>
                </c:pt>
                <c:pt idx="146">
                  <c:v>71068.62000000001</c:v>
                </c:pt>
                <c:pt idx="147">
                  <c:v>71068.62000000001</c:v>
                </c:pt>
                <c:pt idx="148">
                  <c:v>71068.62000000001</c:v>
                </c:pt>
                <c:pt idx="149">
                  <c:v>71068.62000000001</c:v>
                </c:pt>
                <c:pt idx="150">
                  <c:v>71068.62000000001</c:v>
                </c:pt>
                <c:pt idx="151">
                  <c:v>71068.62000000001</c:v>
                </c:pt>
                <c:pt idx="152">
                  <c:v>71068.62000000001</c:v>
                </c:pt>
                <c:pt idx="153">
                  <c:v>71068.62000000001</c:v>
                </c:pt>
                <c:pt idx="154">
                  <c:v>71068.62000000001</c:v>
                </c:pt>
                <c:pt idx="155">
                  <c:v>71068.62000000001</c:v>
                </c:pt>
                <c:pt idx="156">
                  <c:v>71068.62000000001</c:v>
                </c:pt>
                <c:pt idx="157">
                  <c:v>71068.62000000001</c:v>
                </c:pt>
                <c:pt idx="158">
                  <c:v>71068.62000000001</c:v>
                </c:pt>
                <c:pt idx="159">
                  <c:v>71068.62000000001</c:v>
                </c:pt>
                <c:pt idx="160">
                  <c:v>71068.62000000001</c:v>
                </c:pt>
                <c:pt idx="161">
                  <c:v>71068.62000000001</c:v>
                </c:pt>
                <c:pt idx="162">
                  <c:v>71068.62000000001</c:v>
                </c:pt>
                <c:pt idx="163">
                  <c:v>71068.62000000001</c:v>
                </c:pt>
                <c:pt idx="164">
                  <c:v>71068.62000000001</c:v>
                </c:pt>
                <c:pt idx="165">
                  <c:v>71068.62000000001</c:v>
                </c:pt>
                <c:pt idx="166">
                  <c:v>71068.62000000001</c:v>
                </c:pt>
                <c:pt idx="167">
                  <c:v>71068.62000000001</c:v>
                </c:pt>
                <c:pt idx="168">
                  <c:v>71068.62000000001</c:v>
                </c:pt>
                <c:pt idx="169">
                  <c:v>71068.62000000001</c:v>
                </c:pt>
                <c:pt idx="170">
                  <c:v>71068.62000000001</c:v>
                </c:pt>
                <c:pt idx="171">
                  <c:v>71068.62000000001</c:v>
                </c:pt>
                <c:pt idx="172">
                  <c:v>71068.62000000001</c:v>
                </c:pt>
                <c:pt idx="173">
                  <c:v>71068.62000000001</c:v>
                </c:pt>
                <c:pt idx="174">
                  <c:v>71068.62000000001</c:v>
                </c:pt>
                <c:pt idx="175">
                  <c:v>71068.62000000001</c:v>
                </c:pt>
                <c:pt idx="176">
                  <c:v>71068.62000000001</c:v>
                </c:pt>
                <c:pt idx="177">
                  <c:v>71068.62000000001</c:v>
                </c:pt>
                <c:pt idx="178">
                  <c:v>71068.62000000001</c:v>
                </c:pt>
                <c:pt idx="179">
                  <c:v>71068.62000000001</c:v>
                </c:pt>
                <c:pt idx="180">
                  <c:v>71068.62000000001</c:v>
                </c:pt>
                <c:pt idx="181">
                  <c:v>71068.62000000001</c:v>
                </c:pt>
                <c:pt idx="182">
                  <c:v>71068.62000000001</c:v>
                </c:pt>
                <c:pt idx="183">
                  <c:v>71068.62000000001</c:v>
                </c:pt>
                <c:pt idx="184">
                  <c:v>71068.62000000001</c:v>
                </c:pt>
                <c:pt idx="185">
                  <c:v>71068.62000000001</c:v>
                </c:pt>
                <c:pt idx="186">
                  <c:v>71068.62000000001</c:v>
                </c:pt>
                <c:pt idx="187">
                  <c:v>71068.62000000001</c:v>
                </c:pt>
                <c:pt idx="188">
                  <c:v>71068.62000000001</c:v>
                </c:pt>
                <c:pt idx="189">
                  <c:v>71068.62000000001</c:v>
                </c:pt>
                <c:pt idx="190">
                  <c:v>71068.62000000001</c:v>
                </c:pt>
                <c:pt idx="191">
                  <c:v>71068.62000000001</c:v>
                </c:pt>
                <c:pt idx="192">
                  <c:v>71068.62000000001</c:v>
                </c:pt>
                <c:pt idx="193">
                  <c:v>71068.62000000001</c:v>
                </c:pt>
                <c:pt idx="194">
                  <c:v>71068.62000000001</c:v>
                </c:pt>
                <c:pt idx="195">
                  <c:v>71068.62000000001</c:v>
                </c:pt>
                <c:pt idx="196">
                  <c:v>71068.62000000001</c:v>
                </c:pt>
                <c:pt idx="197">
                  <c:v>71068.62000000001</c:v>
                </c:pt>
                <c:pt idx="198">
                  <c:v>71068.62000000001</c:v>
                </c:pt>
                <c:pt idx="199">
                  <c:v>71068.62000000001</c:v>
                </c:pt>
                <c:pt idx="200">
                  <c:v>71068.62000000001</c:v>
                </c:pt>
                <c:pt idx="201">
                  <c:v>71068.62000000001</c:v>
                </c:pt>
                <c:pt idx="202">
                  <c:v>71068.62000000001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DE3C-486F-8618-561D555923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5679688"/>
        <c:axId val="325680080"/>
      </c:scatterChart>
      <c:valAx>
        <c:axId val="325679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sz="1800"/>
                  <a:t>Wind Speed (kph)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680080"/>
        <c:crosses val="autoZero"/>
        <c:crossBetween val="midCat"/>
      </c:valAx>
      <c:valAx>
        <c:axId val="325680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sz="1800"/>
                  <a:t>Wire Stress (psi)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6796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rotWithShape="1">
      <a:gsLst>
        <a:gs pos="0">
          <a:schemeClr val="accent1">
            <a:lumMod val="110000"/>
            <a:satMod val="105000"/>
            <a:tint val="67000"/>
          </a:schemeClr>
        </a:gs>
        <a:gs pos="50000">
          <a:schemeClr val="accent1">
            <a:lumMod val="105000"/>
            <a:satMod val="103000"/>
            <a:tint val="73000"/>
          </a:schemeClr>
        </a:gs>
        <a:gs pos="100000">
          <a:schemeClr val="accent1">
            <a:lumMod val="105000"/>
            <a:satMod val="109000"/>
            <a:tint val="81000"/>
          </a:schemeClr>
        </a:gs>
      </a:gsLst>
      <a:lin ang="5400000" scaled="0"/>
    </a:gradFill>
    <a:ln w="19050" cap="flat" cmpd="sng" algn="ctr">
      <a:solidFill>
        <a:sysClr val="windowText" lastClr="000000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sz="2000" b="1"/>
              <a:t>Trellis Cost</a:t>
            </a:r>
            <a:r>
              <a:rPr lang="en-CA" sz="2000" b="1" baseline="0"/>
              <a:t> Comparison</a:t>
            </a:r>
            <a:endParaRPr lang="en-CA" sz="20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('Trellis cost comparison'!$B$2,'Trellis cost comparison'!$B$11,'Trellis cost comparison'!$B$20,'Trellis cost comparison'!$B$29,'Trellis cost comparison'!$B$38)</c:f>
              <c:strCache>
                <c:ptCount val="5"/>
                <c:pt idx="0">
                  <c:v>Steel conduit</c:v>
                </c:pt>
                <c:pt idx="1">
                  <c:v>Bamboo</c:v>
                </c:pt>
                <c:pt idx="2">
                  <c:v>Kwikrimp</c:v>
                </c:pt>
                <c:pt idx="3">
                  <c:v>PVC Pipe</c:v>
                </c:pt>
                <c:pt idx="4">
                  <c:v>No stabilizer</c:v>
                </c:pt>
              </c:strCache>
            </c:strRef>
          </c:cat>
          <c:val>
            <c:numRef>
              <c:f>('Trellis cost comparison'!$C$6,'Trellis cost comparison'!$C$15,'Trellis cost comparison'!$C$24,'Trellis cost comparison'!$C$33,'Trellis cost comparison'!$C$42)</c:f>
              <c:numCache>
                <c:formatCode>_-"$"* #,##0.00_-;\-"$"* #,##0.00_-;_-"$"* "-"??_-;_-@_-</c:formatCode>
                <c:ptCount val="5"/>
                <c:pt idx="0">
                  <c:v>61838.912500000006</c:v>
                </c:pt>
                <c:pt idx="1">
                  <c:v>38318.912500000006</c:v>
                </c:pt>
                <c:pt idx="2">
                  <c:v>36038.912500000006</c:v>
                </c:pt>
                <c:pt idx="3">
                  <c:v>85238.912500000006</c:v>
                </c:pt>
                <c:pt idx="4">
                  <c:v>25238.912500000002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87-40C5-9976-03915AB43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5238144"/>
        <c:axId val="327872544"/>
      </c:barChart>
      <c:catAx>
        <c:axId val="3752381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sz="1600"/>
                  <a:t>Tree</a:t>
                </a:r>
                <a:r>
                  <a:rPr lang="en-CA" sz="1600" baseline="0"/>
                  <a:t> Stabilizer Type</a:t>
                </a:r>
                <a:endParaRPr lang="en-CA" sz="16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7872544"/>
        <c:crosses val="autoZero"/>
        <c:auto val="1"/>
        <c:lblAlgn val="ctr"/>
        <c:lblOffset val="100"/>
        <c:noMultiLvlLbl val="0"/>
      </c:catAx>
      <c:valAx>
        <c:axId val="3278725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sz="1600"/>
                  <a:t>Trellis</a:t>
                </a:r>
                <a:r>
                  <a:rPr lang="en-CA" sz="1600" baseline="0"/>
                  <a:t> Cost ($)</a:t>
                </a:r>
                <a:endParaRPr lang="en-CA" sz="16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5238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CA" sz="2400" b="1"/>
              <a:t>Wire Stress at Different Wind Speeds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57150" cap="flat" cmpd="sng" algn="ctr">
              <a:solidFill>
                <a:schemeClr val="accent6">
                  <a:shade val="50000"/>
                </a:schemeClr>
              </a:solidFill>
              <a:prstDash val="solid"/>
              <a:miter lim="800000"/>
            </a:ln>
            <a:effectLst/>
          </c:spPr>
          <c:marker>
            <c:symbol val="none"/>
          </c:marker>
          <c:xVal>
            <c:numRef>
              <c:f>'Strength analysis calculations'!$Q$5:$Q$207</c:f>
              <c:numCache>
                <c:formatCode>General</c:formatCode>
                <c:ptCount val="203"/>
                <c:pt idx="0">
                  <c:v>4.7574834194695645</c:v>
                </c:pt>
                <c:pt idx="1">
                  <c:v>5.830899217782239</c:v>
                </c:pt>
                <c:pt idx="2">
                  <c:v>6.7397194680194605</c:v>
                </c:pt>
                <c:pt idx="3">
                  <c:v>7.5449660215117937</c:v>
                </c:pt>
                <c:pt idx="4">
                  <c:v>8.278105603368429</c:v>
                </c:pt>
                <c:pt idx="5">
                  <c:v>8.9579542526322271</c:v>
                </c:pt>
                <c:pt idx="6">
                  <c:v>9.5968647999271255</c:v>
                </c:pt>
                <c:pt idx="7">
                  <c:v>10.20348994346749</c:v>
                </c:pt>
                <c:pt idx="8">
                  <c:v>10.784187014392954</c:v>
                </c:pt>
                <c:pt idx="9">
                  <c:v>11.343801297060901</c:v>
                </c:pt>
                <c:pt idx="10">
                  <c:v>11.886134294323705</c:v>
                </c:pt>
                <c:pt idx="11">
                  <c:v>12.414239329732203</c:v>
                </c:pt>
                <c:pt idx="12">
                  <c:v>12.93061653473027</c:v>
                </c:pt>
                <c:pt idx="13">
                  <c:v>13.43734621714194</c:v>
                </c:pt>
                <c:pt idx="14">
                  <c:v>13.936182908216322</c:v>
                </c:pt>
                <c:pt idx="15">
                  <c:v>14.42862343236501</c:v>
                </c:pt>
                <c:pt idx="16">
                  <c:v>14.915957299651343</c:v>
                </c:pt>
                <c:pt idx="17">
                  <c:v>15.3993047571559</c:v>
                </c:pt>
                <c:pt idx="18">
                  <c:v>15.879646029618195</c:v>
                </c:pt>
                <c:pt idx="19">
                  <c:v>16.357844144425115</c:v>
                </c:pt>
                <c:pt idx="20">
                  <c:v>16.834663002178019</c:v>
                </c:pt>
                <c:pt idx="21">
                  <c:v>17.310781868002891</c:v>
                </c:pt>
                <c:pt idx="22">
                  <c:v>17.786807129739625</c:v>
                </c:pt>
                <c:pt idx="23">
                  <c:v>18.263281941917345</c:v>
                </c:pt>
                <c:pt idx="24">
                  <c:v>18.74069421480975</c:v>
                </c:pt>
                <c:pt idx="25">
                  <c:v>19.219483293914209</c:v>
                </c:pt>
                <c:pt idx="26">
                  <c:v>19.700045592518936</c:v>
                </c:pt>
                <c:pt idx="27">
                  <c:v>20.182739379536745</c:v>
                </c:pt>
                <c:pt idx="28">
                  <c:v>20.667888879551999</c:v>
                </c:pt>
                <c:pt idx="29">
                  <c:v>21.155787808312617</c:v>
                </c:pt>
                <c:pt idx="30">
                  <c:v>21.646702441074211</c:v>
                </c:pt>
                <c:pt idx="31">
                  <c:v>22.140874291554727</c:v>
                </c:pt>
                <c:pt idx="32">
                  <c:v>22.638522463937829</c:v>
                </c:pt>
                <c:pt idx="33">
                  <c:v>23.13984572855928</c:v>
                </c:pt>
                <c:pt idx="34">
                  <c:v>23.645024362488087</c:v>
                </c:pt>
                <c:pt idx="35">
                  <c:v>24.154221788841465</c:v>
                </c:pt>
                <c:pt idx="36">
                  <c:v>24.667586042817028</c:v>
                </c:pt>
                <c:pt idx="37">
                  <c:v>25.18525108762891</c:v>
                </c:pt>
                <c:pt idx="38">
                  <c:v>25.707337999782371</c:v>
                </c:pt>
                <c:pt idx="39">
                  <c:v>26.233956039990407</c:v>
                </c:pt>
                <c:pt idx="40">
                  <c:v>26.765203623549976</c:v>
                </c:pt>
                <c:pt idx="41">
                  <c:v>27.30116920186299</c:v>
                </c:pt>
                <c:pt idx="42">
                  <c:v>27.841932065155362</c:v>
                </c:pt>
                <c:pt idx="43">
                  <c:v>28.387563074978054</c:v>
                </c:pt>
                <c:pt idx="44">
                  <c:v>28.938125333926347</c:v>
                </c:pt>
                <c:pt idx="45">
                  <c:v>29.493674799006723</c:v>
                </c:pt>
                <c:pt idx="46">
                  <c:v>30.054260844270342</c:v>
                </c:pt>
                <c:pt idx="47">
                  <c:v>30.61992677764594</c:v>
                </c:pt>
                <c:pt idx="48">
                  <c:v>31.190710316272522</c:v>
                </c:pt>
                <c:pt idx="49">
                  <c:v>31.76664402414443</c:v>
                </c:pt>
                <c:pt idx="50">
                  <c:v>32.347755715483352</c:v>
                </c:pt>
                <c:pt idx="51">
                  <c:v>32.934068826828202</c:v>
                </c:pt>
                <c:pt idx="52">
                  <c:v>33.525602760542228</c:v>
                </c:pt>
                <c:pt idx="53">
                  <c:v>34.122373202127939</c:v>
                </c:pt>
                <c:pt idx="54">
                  <c:v>34.724392413570101</c:v>
                </c:pt>
                <c:pt idx="55">
                  <c:v>35.331669504622148</c:v>
                </c:pt>
                <c:pt idx="56">
                  <c:v>35.944210683809601</c:v>
                </c:pt>
                <c:pt idx="57">
                  <c:v>36.56201949077677</c:v>
                </c:pt>
                <c:pt idx="58">
                  <c:v>37.185097011429725</c:v>
                </c:pt>
                <c:pt idx="59">
                  <c:v>37.813442077201124</c:v>
                </c:pt>
                <c:pt idx="60">
                  <c:v>38.447051449647184</c:v>
                </c:pt>
                <c:pt idx="61">
                  <c:v>39.085919991507964</c:v>
                </c:pt>
                <c:pt idx="62">
                  <c:v>39.730040825227171</c:v>
                </c:pt>
                <c:pt idx="63">
                  <c:v>40.379405479875885</c:v>
                </c:pt>
                <c:pt idx="64">
                  <c:v>41.034004027354229</c:v>
                </c:pt>
                <c:pt idx="65">
                  <c:v>41.693825208624091</c:v>
                </c:pt>
                <c:pt idx="66">
                  <c:v>42.358856550740612</c:v>
                </c:pt>
                <c:pt idx="67">
                  <c:v>43.029084475331807</c:v>
                </c:pt>
                <c:pt idx="68">
                  <c:v>43.704494399143584</c:v>
                </c:pt>
                <c:pt idx="69">
                  <c:v>44.385070827239971</c:v>
                </c:pt>
                <c:pt idx="70">
                  <c:v>45.070797439380797</c:v>
                </c:pt>
                <c:pt idx="71">
                  <c:v>45.761657170039157</c:v>
                </c:pt>
                <c:pt idx="72">
                  <c:v>46.457632282583859</c:v>
                </c:pt>
                <c:pt idx="73">
                  <c:v>47.158704437945481</c:v>
                </c:pt>
                <c:pt idx="74">
                  <c:v>47.864854758251518</c:v>
                </c:pt>
                <c:pt idx="75">
                  <c:v>48.576063885727237</c:v>
                </c:pt>
                <c:pt idx="76">
                  <c:v>49.292312037224008</c:v>
                </c:pt>
                <c:pt idx="77">
                  <c:v>50.013579054685465</c:v>
                </c:pt>
                <c:pt idx="78">
                  <c:v>50.739844451837214</c:v>
                </c:pt>
                <c:pt idx="79">
                  <c:v>51.47108745734802</c:v>
                </c:pt>
                <c:pt idx="80">
                  <c:v>52.20728705474027</c:v>
                </c:pt>
                <c:pt idx="81">
                  <c:v>52.948422019280031</c:v>
                </c:pt>
                <c:pt idx="82">
                  <c:v>53.694470952020126</c:v>
                </c:pt>
                <c:pt idx="83">
                  <c:v>54.445412311250912</c:v>
                </c:pt>
                <c:pt idx="84">
                  <c:v>55.201224441502681</c:v>
                </c:pt>
                <c:pt idx="85">
                  <c:v>55.961885600288753</c:v>
                </c:pt>
                <c:pt idx="86">
                  <c:v>56.727373982758586</c:v>
                </c:pt>
                <c:pt idx="87">
                  <c:v>57.497667744368925</c:v>
                </c:pt>
                <c:pt idx="88">
                  <c:v>58.272745021778192</c:v>
                </c:pt>
                <c:pt idx="89">
                  <c:v>59.052583952016263</c:v>
                </c:pt>
                <c:pt idx="90">
                  <c:v>59.837162690123115</c:v>
                </c:pt>
                <c:pt idx="91">
                  <c:v>60.626459425305491</c:v>
                </c:pt>
                <c:pt idx="92">
                  <c:v>61.4204523957414</c:v>
                </c:pt>
                <c:pt idx="93">
                  <c:v>62.219119902159527</c:v>
                </c:pt>
                <c:pt idx="94">
                  <c:v>63.022440320206769</c:v>
                </c:pt>
                <c:pt idx="95">
                  <c:v>63.830392111780228</c:v>
                </c:pt>
                <c:pt idx="96">
                  <c:v>64.64295383530127</c:v>
                </c:pt>
                <c:pt idx="97">
                  <c:v>65.460104155105554</c:v>
                </c:pt>
                <c:pt idx="98">
                  <c:v>66.281821849935881</c:v>
                </c:pt>
                <c:pt idx="99">
                  <c:v>67.108085820640298</c:v>
                </c:pt>
                <c:pt idx="100">
                  <c:v>67.938875097131159</c:v>
                </c:pt>
                <c:pt idx="101">
                  <c:v>68.774168844629003</c:v>
                </c:pt>
                <c:pt idx="102">
                  <c:v>69.613946369297381</c:v>
                </c:pt>
                <c:pt idx="103">
                  <c:v>70.458187123252458</c:v>
                </c:pt>
                <c:pt idx="104">
                  <c:v>71.306870709049491</c:v>
                </c:pt>
                <c:pt idx="105">
                  <c:v>72.159976883628403</c:v>
                </c:pt>
                <c:pt idx="106">
                  <c:v>73.017485561814098</c:v>
                </c:pt>
                <c:pt idx="107">
                  <c:v>73.879376819367423</c:v>
                </c:pt>
                <c:pt idx="108">
                  <c:v>74.745630895615179</c:v>
                </c:pt>
                <c:pt idx="109">
                  <c:v>75.616228195746402</c:v>
                </c:pt>
                <c:pt idx="110">
                  <c:v>76.491149292709835</c:v>
                </c:pt>
                <c:pt idx="111">
                  <c:v>77.370374928843859</c:v>
                </c:pt>
                <c:pt idx="112">
                  <c:v>78.253886017163055</c:v>
                </c:pt>
                <c:pt idx="113">
                  <c:v>79.141663642410734</c:v>
                </c:pt>
                <c:pt idx="114">
                  <c:v>80.033689061839524</c:v>
                </c:pt>
                <c:pt idx="115">
                  <c:v>80.929943705760408</c:v>
                </c:pt>
                <c:pt idx="116">
                  <c:v>81.830409177885059</c:v>
                </c:pt>
                <c:pt idx="117">
                  <c:v>82.735067255474277</c:v>
                </c:pt>
                <c:pt idx="118">
                  <c:v>83.643899889294744</c:v>
                </c:pt>
                <c:pt idx="119">
                  <c:v>84.55688920341936</c:v>
                </c:pt>
                <c:pt idx="120">
                  <c:v>85.474017494875596</c:v>
                </c:pt>
                <c:pt idx="121">
                  <c:v>86.395267233150605</c:v>
                </c:pt>
                <c:pt idx="122">
                  <c:v>87.320621059571138</c:v>
                </c:pt>
                <c:pt idx="123">
                  <c:v>88.25006178656561</c:v>
                </c:pt>
                <c:pt idx="124">
                  <c:v>89.183572396828694</c:v>
                </c:pt>
                <c:pt idx="125">
                  <c:v>90.121136042379064</c:v>
                </c:pt>
                <c:pt idx="126">
                  <c:v>91.062736043531785</c:v>
                </c:pt>
                <c:pt idx="127">
                  <c:v>92.008355887796057</c:v>
                </c:pt>
                <c:pt idx="128">
                  <c:v>92.957979228705454</c:v>
                </c:pt>
                <c:pt idx="129">
                  <c:v>93.911589884567036</c:v>
                </c:pt>
                <c:pt idx="130">
                  <c:v>94.869171837165041</c:v>
                </c:pt>
                <c:pt idx="131">
                  <c:v>95.830709230421959</c:v>
                </c:pt>
                <c:pt idx="132">
                  <c:v>96.796186368991656</c:v>
                </c:pt>
                <c:pt idx="133">
                  <c:v>97.765587716822949</c:v>
                </c:pt>
                <c:pt idx="134">
                  <c:v>98.738897895695573</c:v>
                </c:pt>
                <c:pt idx="135">
                  <c:v>99.716101683711898</c:v>
                </c:pt>
                <c:pt idx="136">
                  <c:v>100.69718401375958</c:v>
                </c:pt>
                <c:pt idx="137">
                  <c:v>101.68212997196993</c:v>
                </c:pt>
                <c:pt idx="138">
                  <c:v>102.67092479613306</c:v>
                </c:pt>
                <c:pt idx="139">
                  <c:v>103.66355387411807</c:v>
                </c:pt>
                <c:pt idx="140">
                  <c:v>104.66000274225632</c:v>
                </c:pt>
                <c:pt idx="141">
                  <c:v>105.66025708374177</c:v>
                </c:pt>
                <c:pt idx="142">
                  <c:v>106.66430272699807</c:v>
                </c:pt>
                <c:pt idx="143">
                  <c:v>107.67212564405055</c:v>
                </c:pt>
                <c:pt idx="144">
                  <c:v>108.68371194890963</c:v>
                </c:pt>
                <c:pt idx="145">
                  <c:v>109.69904789591735</c:v>
                </c:pt>
                <c:pt idx="146">
                  <c:v>110.71811987813402</c:v>
                </c:pt>
                <c:pt idx="147">
                  <c:v>111.74091442570032</c:v>
                </c:pt>
                <c:pt idx="148">
                  <c:v>112.76741820421128</c:v>
                </c:pt>
                <c:pt idx="149">
                  <c:v>113.7976180130978</c:v>
                </c:pt>
                <c:pt idx="150">
                  <c:v>114.83150078401901</c:v>
                </c:pt>
                <c:pt idx="151">
                  <c:v>115.86905357924155</c:v>
                </c:pt>
                <c:pt idx="152">
                  <c:v>116.91026359006099</c:v>
                </c:pt>
                <c:pt idx="153">
                  <c:v>117.95511813520208</c:v>
                </c:pt>
                <c:pt idx="154">
                  <c:v>119.00360465924854</c:v>
                </c:pt>
                <c:pt idx="155">
                  <c:v>120.05571073107595</c:v>
                </c:pt>
                <c:pt idx="156">
                  <c:v>121.11142404230164</c:v>
                </c:pt>
                <c:pt idx="157">
                  <c:v>122.17073240574882</c:v>
                </c:pt>
                <c:pt idx="158">
                  <c:v>123.23362375391119</c:v>
                </c:pt>
                <c:pt idx="159">
                  <c:v>124.30008613745686</c:v>
                </c:pt>
                <c:pt idx="160">
                  <c:v>125.37010772371363</c:v>
                </c:pt>
                <c:pt idx="161">
                  <c:v>126.44367679520889</c:v>
                </c:pt>
                <c:pt idx="162">
                  <c:v>127.52078174818502</c:v>
                </c:pt>
                <c:pt idx="163">
                  <c:v>128.60141109115864</c:v>
                </c:pt>
                <c:pt idx="164">
                  <c:v>129.68555344348556</c:v>
                </c:pt>
                <c:pt idx="165">
                  <c:v>130.77319753394241</c:v>
                </c:pt>
                <c:pt idx="166">
                  <c:v>131.86433219932047</c:v>
                </c:pt>
                <c:pt idx="167">
                  <c:v>132.95894638304978</c:v>
                </c:pt>
                <c:pt idx="168">
                  <c:v>134.05702913382646</c:v>
                </c:pt>
                <c:pt idx="169">
                  <c:v>135.15856960425683</c:v>
                </c:pt>
                <c:pt idx="170">
                  <c:v>136.2635570495319</c:v>
                </c:pt>
                <c:pt idx="171">
                  <c:v>137.37198082610342</c:v>
                </c:pt>
                <c:pt idx="172">
                  <c:v>138.48383039038654</c:v>
                </c:pt>
                <c:pt idx="173">
                  <c:v>139.59909529747526</c:v>
                </c:pt>
                <c:pt idx="174">
                  <c:v>140.71776519987753</c:v>
                </c:pt>
                <c:pt idx="175">
                  <c:v>141.83982984625848</c:v>
                </c:pt>
                <c:pt idx="176">
                  <c:v>142.96527908022267</c:v>
                </c:pt>
                <c:pt idx="177">
                  <c:v>144.09410283907982</c:v>
                </c:pt>
                <c:pt idx="178">
                  <c:v>145.22629115266395</c:v>
                </c:pt>
                <c:pt idx="179">
                  <c:v>146.36183414213266</c:v>
                </c:pt>
                <c:pt idx="180">
                  <c:v>147.50072201881747</c:v>
                </c:pt>
                <c:pt idx="181">
                  <c:v>148.64294508306349</c:v>
                </c:pt>
                <c:pt idx="182">
                  <c:v>149.78849372309932</c:v>
                </c:pt>
                <c:pt idx="183">
                  <c:v>150.93735841392035</c:v>
                </c:pt>
                <c:pt idx="184">
                  <c:v>152.08952971619064</c:v>
                </c:pt>
                <c:pt idx="185">
                  <c:v>153.24499827514902</c:v>
                </c:pt>
                <c:pt idx="186">
                  <c:v>154.40375481954956</c:v>
                </c:pt>
                <c:pt idx="187">
                  <c:v>155.56579016059737</c:v>
                </c:pt>
                <c:pt idx="188">
                  <c:v>156.73109519091787</c:v>
                </c:pt>
                <c:pt idx="189">
                  <c:v>157.89966088353444</c:v>
                </c:pt>
                <c:pt idx="190">
                  <c:v>159.07147829084931</c:v>
                </c:pt>
                <c:pt idx="191">
                  <c:v>160.24653854366022</c:v>
                </c:pt>
                <c:pt idx="192">
                  <c:v>161.42483285018017</c:v>
                </c:pt>
                <c:pt idx="193">
                  <c:v>162.60635249506657</c:v>
                </c:pt>
                <c:pt idx="194">
                  <c:v>163.79108883847729</c:v>
                </c:pt>
                <c:pt idx="195">
                  <c:v>164.97903331513544</c:v>
                </c:pt>
                <c:pt idx="196">
                  <c:v>166.17017743339878</c:v>
                </c:pt>
                <c:pt idx="197">
                  <c:v>167.36451277436495</c:v>
                </c:pt>
                <c:pt idx="198">
                  <c:v>168.56203099096291</c:v>
                </c:pt>
                <c:pt idx="199">
                  <c:v>169.76272380708127</c:v>
                </c:pt>
                <c:pt idx="200">
                  <c:v>170.96658301669726</c:v>
                </c:pt>
                <c:pt idx="201">
                  <c:v>172.17360048302038</c:v>
                </c:pt>
                <c:pt idx="202">
                  <c:v>173.38376813765063</c:v>
                </c:pt>
              </c:numCache>
            </c:numRef>
          </c:xVal>
          <c:yVal>
            <c:numRef>
              <c:f>'Strength analysis calculations'!$N$5:$N$207</c:f>
              <c:numCache>
                <c:formatCode>General</c:formatCode>
                <c:ptCount val="203"/>
                <c:pt idx="0">
                  <c:v>8675.0025570933303</c:v>
                </c:pt>
                <c:pt idx="1">
                  <c:v>8687.5025740200581</c:v>
                </c:pt>
                <c:pt idx="2">
                  <c:v>8705.0026195927185</c:v>
                </c:pt>
                <c:pt idx="3">
                  <c:v>8727.5027156865544</c:v>
                </c:pt>
                <c:pt idx="4">
                  <c:v>8755.0028904272167</c:v>
                </c:pt>
                <c:pt idx="5">
                  <c:v>8787.5031781907601</c:v>
                </c:pt>
                <c:pt idx="6">
                  <c:v>8825.003619598916</c:v>
                </c:pt>
                <c:pt idx="7">
                  <c:v>8867.5042615332932</c:v>
                </c:pt>
                <c:pt idx="8">
                  <c:v>8915.0051571188033</c:v>
                </c:pt>
                <c:pt idx="9">
                  <c:v>8967.5063657331339</c:v>
                </c:pt>
                <c:pt idx="10">
                  <c:v>9025.0079530043804</c:v>
                </c:pt>
                <c:pt idx="11">
                  <c:v>9087.5099908134162</c:v>
                </c:pt>
                <c:pt idx="12">
                  <c:v>9155.0125572915185</c:v>
                </c:pt>
                <c:pt idx="13">
                  <c:v>9227.5157368203745</c:v>
                </c:pt>
                <c:pt idx="14">
                  <c:v>9305.0196200368173</c:v>
                </c:pt>
                <c:pt idx="15">
                  <c:v>9387.524303825714</c:v>
                </c:pt>
                <c:pt idx="16">
                  <c:v>9475.0298913270817</c:v>
                </c:pt>
                <c:pt idx="17">
                  <c:v>9567.5364919337135</c:v>
                </c:pt>
                <c:pt idx="18">
                  <c:v>9665.0442212888047</c:v>
                </c:pt>
                <c:pt idx="19">
                  <c:v>9767.5532012907006</c:v>
                </c:pt>
                <c:pt idx="20">
                  <c:v>9875.0635600952555</c:v>
                </c:pt>
                <c:pt idx="21">
                  <c:v>9987.5754321063669</c:v>
                </c:pt>
                <c:pt idx="22">
                  <c:v>10105.088957985443</c:v>
                </c:pt>
                <c:pt idx="23">
                  <c:v>10227.604284651406</c:v>
                </c:pt>
                <c:pt idx="24">
                  <c:v>10355.121565271214</c:v>
                </c:pt>
                <c:pt idx="25">
                  <c:v>10487.640959278815</c:v>
                </c:pt>
                <c:pt idx="26">
                  <c:v>10625.162632351461</c:v>
                </c:pt>
                <c:pt idx="27">
                  <c:v>10767.686756435754</c:v>
                </c:pt>
                <c:pt idx="28">
                  <c:v>10915.21350972871</c:v>
                </c:pt>
                <c:pt idx="29">
                  <c:v>11067.743076687222</c:v>
                </c:pt>
                <c:pt idx="30">
                  <c:v>11225.275648023327</c:v>
                </c:pt>
                <c:pt idx="31">
                  <c:v>11387.811420716052</c:v>
                </c:pt>
                <c:pt idx="32">
                  <c:v>11555.350597997198</c:v>
                </c:pt>
                <c:pt idx="33">
                  <c:v>11727.893389360819</c:v>
                </c:pt>
                <c:pt idx="34">
                  <c:v>11905.440010565586</c:v>
                </c:pt>
                <c:pt idx="35">
                  <c:v>12087.990683625309</c:v>
                </c:pt>
                <c:pt idx="36">
                  <c:v>12275.545636820789</c:v>
                </c:pt>
                <c:pt idx="37">
                  <c:v>12468.105104695083</c:v>
                </c:pt>
                <c:pt idx="38">
                  <c:v>12665.669328055861</c:v>
                </c:pt>
                <c:pt idx="39">
                  <c:v>12868.23855397067</c:v>
                </c:pt>
                <c:pt idx="40">
                  <c:v>13075.81303577879</c:v>
                </c:pt>
                <c:pt idx="41">
                  <c:v>13288.39303308174</c:v>
                </c:pt>
                <c:pt idx="42">
                  <c:v>13505.97881174804</c:v>
                </c:pt>
                <c:pt idx="43">
                  <c:v>13728.570643913186</c:v>
                </c:pt>
                <c:pt idx="44">
                  <c:v>13956.168807984401</c:v>
                </c:pt>
                <c:pt idx="45">
                  <c:v>14188.773588638265</c:v>
                </c:pt>
                <c:pt idx="46">
                  <c:v>14426.385276815974</c:v>
                </c:pt>
                <c:pt idx="47">
                  <c:v>14669.004169732814</c:v>
                </c:pt>
                <c:pt idx="48">
                  <c:v>14916.630570880543</c:v>
                </c:pt>
                <c:pt idx="49">
                  <c:v>15169.264790017893</c:v>
                </c:pt>
                <c:pt idx="50">
                  <c:v>15426.90714317769</c:v>
                </c:pt>
                <c:pt idx="51">
                  <c:v>15689.557952669235</c:v>
                </c:pt>
                <c:pt idx="52">
                  <c:v>15957.217547083006</c:v>
                </c:pt>
                <c:pt idx="53">
                  <c:v>16229.886261276481</c:v>
                </c:pt>
                <c:pt idx="54">
                  <c:v>16507.564436388333</c:v>
                </c:pt>
                <c:pt idx="55">
                  <c:v>16790.252419840806</c:v>
                </c:pt>
                <c:pt idx="56">
                  <c:v>17077.950565332594</c:v>
                </c:pt>
                <c:pt idx="57">
                  <c:v>17370.65923284123</c:v>
                </c:pt>
                <c:pt idx="58">
                  <c:v>17668.378788627804</c:v>
                </c:pt>
                <c:pt idx="59">
                  <c:v>17971.109605239355</c:v>
                </c:pt>
                <c:pt idx="60">
                  <c:v>18278.852061504102</c:v>
                </c:pt>
                <c:pt idx="61">
                  <c:v>18591.606542538582</c:v>
                </c:pt>
                <c:pt idx="62">
                  <c:v>18909.373439745254</c:v>
                </c:pt>
                <c:pt idx="63">
                  <c:v>19232.153150810162</c:v>
                </c:pt>
                <c:pt idx="64">
                  <c:v>19559.946079714737</c:v>
                </c:pt>
                <c:pt idx="65">
                  <c:v>19892.75263672636</c:v>
                </c:pt>
                <c:pt idx="66">
                  <c:v>20230.573238405446</c:v>
                </c:pt>
                <c:pt idx="67">
                  <c:v>20573.408307607817</c:v>
                </c:pt>
                <c:pt idx="68">
                  <c:v>20921.258273479969</c:v>
                </c:pt>
                <c:pt idx="69">
                  <c:v>21274.12357146381</c:v>
                </c:pt>
                <c:pt idx="70">
                  <c:v>21632.004643303753</c:v>
                </c:pt>
                <c:pt idx="71">
                  <c:v>21994.901937030158</c:v>
                </c:pt>
                <c:pt idx="72">
                  <c:v>22362.815906987733</c:v>
                </c:pt>
                <c:pt idx="73">
                  <c:v>22735.747013811862</c:v>
                </c:pt>
                <c:pt idx="74">
                  <c:v>23113.69572444517</c:v>
                </c:pt>
                <c:pt idx="75">
                  <c:v>23496.662512132811</c:v>
                </c:pt>
                <c:pt idx="76">
                  <c:v>23884.647856422445</c:v>
                </c:pt>
                <c:pt idx="77">
                  <c:v>24277.652243168977</c:v>
                </c:pt>
                <c:pt idx="78">
                  <c:v>24675.676164541685</c:v>
                </c:pt>
                <c:pt idx="79">
                  <c:v>25078.720119014713</c:v>
                </c:pt>
                <c:pt idx="80">
                  <c:v>25486.784611369465</c:v>
                </c:pt>
                <c:pt idx="81">
                  <c:v>25899.870152708809</c:v>
                </c:pt>
                <c:pt idx="82">
                  <c:v>26317.977260442851</c:v>
                </c:pt>
                <c:pt idx="83">
                  <c:v>26741.106458300812</c:v>
                </c:pt>
                <c:pt idx="84">
                  <c:v>27169.258276328612</c:v>
                </c:pt>
                <c:pt idx="85">
                  <c:v>27602.433250888909</c:v>
                </c:pt>
                <c:pt idx="86">
                  <c:v>28040.63192467294</c:v>
                </c:pt>
                <c:pt idx="87">
                  <c:v>28483.854846683909</c:v>
                </c:pt>
                <c:pt idx="88">
                  <c:v>28932.10257225834</c:v>
                </c:pt>
                <c:pt idx="89">
                  <c:v>29385.375663049464</c:v>
                </c:pt>
                <c:pt idx="90">
                  <c:v>29843.674687046208</c:v>
                </c:pt>
                <c:pt idx="91">
                  <c:v>30307.000218566052</c:v>
                </c:pt>
                <c:pt idx="92">
                  <c:v>30775.352838247938</c:v>
                </c:pt>
                <c:pt idx="93">
                  <c:v>31248.733133075959</c:v>
                </c:pt>
                <c:pt idx="94">
                  <c:v>31727.14169635803</c:v>
                </c:pt>
                <c:pt idx="95">
                  <c:v>32210.579127751964</c:v>
                </c:pt>
                <c:pt idx="96">
                  <c:v>32699.046033239392</c:v>
                </c:pt>
                <c:pt idx="97">
                  <c:v>33192.543025149462</c:v>
                </c:pt>
                <c:pt idx="98">
                  <c:v>33691.070722151744</c:v>
                </c:pt>
                <c:pt idx="99">
                  <c:v>34194.629749258573</c:v>
                </c:pt>
                <c:pt idx="100">
                  <c:v>34703.220737834519</c:v>
                </c:pt>
                <c:pt idx="101">
                  <c:v>35216.844325582242</c:v>
                </c:pt>
                <c:pt idx="102">
                  <c:v>35735.501156561353</c:v>
                </c:pt>
                <c:pt idx="103">
                  <c:v>36259.191881176608</c:v>
                </c:pt>
                <c:pt idx="104">
                  <c:v>36787.917156194511</c:v>
                </c:pt>
                <c:pt idx="105">
                  <c:v>37321.677644729076</c:v>
                </c:pt>
                <c:pt idx="106">
                  <c:v>37860.474016256019</c:v>
                </c:pt>
                <c:pt idx="107">
                  <c:v>38404.306946615186</c:v>
                </c:pt>
                <c:pt idx="108">
                  <c:v>38953.177117996274</c:v>
                </c:pt>
                <c:pt idx="109">
                  <c:v>39507.085218967317</c:v>
                </c:pt>
                <c:pt idx="110">
                  <c:v>40066.031944448572</c:v>
                </c:pt>
                <c:pt idx="111">
                  <c:v>40630.017995740985</c:v>
                </c:pt>
                <c:pt idx="112">
                  <c:v>41199.044080504857</c:v>
                </c:pt>
                <c:pt idx="113">
                  <c:v>41773.110912778793</c:v>
                </c:pt>
                <c:pt idx="114">
                  <c:v>42352.219212977332</c:v>
                </c:pt>
                <c:pt idx="115">
                  <c:v>42936.369707888596</c:v>
                </c:pt>
                <c:pt idx="116">
                  <c:v>43525.563130679002</c:v>
                </c:pt>
                <c:pt idx="117">
                  <c:v>44119.800220900368</c:v>
                </c:pt>
                <c:pt idx="118">
                  <c:v>44719.081724485201</c:v>
                </c:pt>
                <c:pt idx="119">
                  <c:v>45323.408393751401</c:v>
                </c:pt>
                <c:pt idx="120">
                  <c:v>45932.780987407044</c:v>
                </c:pt>
                <c:pt idx="121">
                  <c:v>46547.200270550318</c:v>
                </c:pt>
                <c:pt idx="122">
                  <c:v>47166.66701467197</c:v>
                </c:pt>
                <c:pt idx="123">
                  <c:v>47791.181997655229</c:v>
                </c:pt>
                <c:pt idx="124">
                  <c:v>48420.746003785316</c:v>
                </c:pt>
                <c:pt idx="125">
                  <c:v>49055.359823747072</c:v>
                </c:pt>
                <c:pt idx="126">
                  <c:v>49695.024254625008</c:v>
                </c:pt>
                <c:pt idx="127">
                  <c:v>50339.740099907933</c:v>
                </c:pt>
                <c:pt idx="128">
                  <c:v>50989.508169498491</c:v>
                </c:pt>
                <c:pt idx="129">
                  <c:v>51644.329279703736</c:v>
                </c:pt>
                <c:pt idx="130">
                  <c:v>52304.204253239768</c:v>
                </c:pt>
                <c:pt idx="131">
                  <c:v>52969.133919246029</c:v>
                </c:pt>
                <c:pt idx="132">
                  <c:v>53639.119113275745</c:v>
                </c:pt>
                <c:pt idx="133">
                  <c:v>54314.160677298401</c:v>
                </c:pt>
                <c:pt idx="134">
                  <c:v>54994.259459711473</c:v>
                </c:pt>
                <c:pt idx="135">
                  <c:v>55679.416315338152</c:v>
                </c:pt>
                <c:pt idx="136">
                  <c:v>56369.632105422555</c:v>
                </c:pt>
                <c:pt idx="137">
                  <c:v>57064.907697646297</c:v>
                </c:pt>
                <c:pt idx="138">
                  <c:v>57765.243966119066</c:v>
                </c:pt>
                <c:pt idx="139">
                  <c:v>58470.641791392787</c:v>
                </c:pt>
                <c:pt idx="140">
                  <c:v>59181.10206044979</c:v>
                </c:pt>
                <c:pt idx="141">
                  <c:v>59896.625666721775</c:v>
                </c:pt>
                <c:pt idx="142">
                  <c:v>60617.213510080343</c:v>
                </c:pt>
                <c:pt idx="143">
                  <c:v>61342.86649683932</c:v>
                </c:pt>
                <c:pt idx="144">
                  <c:v>62073.585539773747</c:v>
                </c:pt>
                <c:pt idx="145">
                  <c:v>62809.371558098552</c:v>
                </c:pt>
                <c:pt idx="146">
                  <c:v>63550.225477492218</c:v>
                </c:pt>
                <c:pt idx="147">
                  <c:v>64296.148230089733</c:v>
                </c:pt>
                <c:pt idx="148">
                  <c:v>65047.140754484884</c:v>
                </c:pt>
                <c:pt idx="149">
                  <c:v>65803.203995735021</c:v>
                </c:pt>
                <c:pt idx="150">
                  <c:v>66564.338905370561</c:v>
                </c:pt>
                <c:pt idx="151">
                  <c:v>67330.546441380764</c:v>
                </c:pt>
                <c:pt idx="152">
                  <c:v>68101.827568237379</c:v>
                </c:pt>
                <c:pt idx="153">
                  <c:v>68878.183256882839</c:v>
                </c:pt>
                <c:pt idx="154">
                  <c:v>69659.614484739737</c:v>
                </c:pt>
                <c:pt idx="155">
                  <c:v>70446.122235710805</c:v>
                </c:pt>
                <c:pt idx="156">
                  <c:v>71237.707500183693</c:v>
                </c:pt>
                <c:pt idx="157">
                  <c:v>72034.371275037964</c:v>
                </c:pt>
                <c:pt idx="158">
                  <c:v>72836.114563635798</c:v>
                </c:pt>
                <c:pt idx="159">
                  <c:v>73642.93837584315</c:v>
                </c:pt>
                <c:pt idx="160">
                  <c:v>74454.843728010877</c:v>
                </c:pt>
                <c:pt idx="161">
                  <c:v>75271.831643003141</c:v>
                </c:pt>
                <c:pt idx="162">
                  <c:v>76093.903150178448</c:v>
                </c:pt>
                <c:pt idx="163">
                  <c:v>76921.059285403928</c:v>
                </c:pt>
                <c:pt idx="164">
                  <c:v>77753.301091057598</c:v>
                </c:pt>
                <c:pt idx="165">
                  <c:v>78590.629616030797</c:v>
                </c:pt>
                <c:pt idx="166">
                  <c:v>79433.045915725816</c:v>
                </c:pt>
                <c:pt idx="167">
                  <c:v>80280.551052070092</c:v>
                </c:pt>
                <c:pt idx="168">
                  <c:v>81133.14609351386</c:v>
                </c:pt>
                <c:pt idx="169">
                  <c:v>81990.832115027704</c:v>
                </c:pt>
                <c:pt idx="170">
                  <c:v>82853.610198116919</c:v>
                </c:pt>
                <c:pt idx="171">
                  <c:v>83721.481430816624</c:v>
                </c:pt>
                <c:pt idx="172">
                  <c:v>84594.446907698977</c:v>
                </c:pt>
                <c:pt idx="173">
                  <c:v>85472.507729875448</c:v>
                </c:pt>
                <c:pt idx="174">
                  <c:v>86355.665005001691</c:v>
                </c:pt>
                <c:pt idx="175">
                  <c:v>87243.919847272613</c:v>
                </c:pt>
                <c:pt idx="176">
                  <c:v>88137.273377443838</c:v>
                </c:pt>
                <c:pt idx="177">
                  <c:v>89035.726722812789</c:v>
                </c:pt>
                <c:pt idx="178">
                  <c:v>89939.281017244575</c:v>
                </c:pt>
                <c:pt idx="179">
                  <c:v>90847.937401153191</c:v>
                </c:pt>
                <c:pt idx="180">
                  <c:v>91761.69702152512</c:v>
                </c:pt>
                <c:pt idx="181">
                  <c:v>92680.561031909965</c:v>
                </c:pt>
                <c:pt idx="182">
                  <c:v>93604.530592427429</c:v>
                </c:pt>
                <c:pt idx="183">
                  <c:v>94533.606869772033</c:v>
                </c:pt>
                <c:pt idx="184">
                  <c:v>95467.791037220435</c:v>
                </c:pt>
                <c:pt idx="185">
                  <c:v>96407.084274624052</c:v>
                </c:pt>
                <c:pt idx="186">
                  <c:v>97351.487768425897</c:v>
                </c:pt>
                <c:pt idx="187">
                  <c:v>98301.002711650872</c:v>
                </c:pt>
                <c:pt idx="188">
                  <c:v>99255.630303920101</c:v>
                </c:pt>
                <c:pt idx="189">
                  <c:v>100215.37175145571</c:v>
                </c:pt>
                <c:pt idx="190">
                  <c:v>101180.22826707122</c:v>
                </c:pt>
                <c:pt idx="191">
                  <c:v>102150.20107018822</c:v>
                </c:pt>
                <c:pt idx="192">
                  <c:v>103125.29138683878</c:v>
                </c:pt>
                <c:pt idx="193">
                  <c:v>104105.50044966054</c:v>
                </c:pt>
                <c:pt idx="194">
                  <c:v>105090.82949790877</c:v>
                </c:pt>
                <c:pt idx="195">
                  <c:v>106081.27977746089</c:v>
                </c:pt>
                <c:pt idx="196">
                  <c:v>107076.85254080959</c:v>
                </c:pt>
                <c:pt idx="197">
                  <c:v>108077.5490470839</c:v>
                </c:pt>
                <c:pt idx="198">
                  <c:v>109083.37056203524</c:v>
                </c:pt>
                <c:pt idx="199">
                  <c:v>110094.31835805374</c:v>
                </c:pt>
                <c:pt idx="200">
                  <c:v>111110.39371416847</c:v>
                </c:pt>
                <c:pt idx="201">
                  <c:v>112131.59791604968</c:v>
                </c:pt>
                <c:pt idx="202">
                  <c:v>113157.93225601352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3F5-44E8-9C82-638321863348}"/>
            </c:ext>
          </c:extLst>
        </c:ser>
        <c:ser>
          <c:idx val="1"/>
          <c:order val="1"/>
          <c:spPr>
            <a:ln w="571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'Strength analysis calculations'!$Q$5:$Q$207</c:f>
              <c:numCache>
                <c:formatCode>General</c:formatCode>
                <c:ptCount val="203"/>
                <c:pt idx="0">
                  <c:v>4.7574834194695645</c:v>
                </c:pt>
                <c:pt idx="1">
                  <c:v>5.830899217782239</c:v>
                </c:pt>
                <c:pt idx="2">
                  <c:v>6.7397194680194605</c:v>
                </c:pt>
                <c:pt idx="3">
                  <c:v>7.5449660215117937</c:v>
                </c:pt>
                <c:pt idx="4">
                  <c:v>8.278105603368429</c:v>
                </c:pt>
                <c:pt idx="5">
                  <c:v>8.9579542526322271</c:v>
                </c:pt>
                <c:pt idx="6">
                  <c:v>9.5968647999271255</c:v>
                </c:pt>
                <c:pt idx="7">
                  <c:v>10.20348994346749</c:v>
                </c:pt>
                <c:pt idx="8">
                  <c:v>10.784187014392954</c:v>
                </c:pt>
                <c:pt idx="9">
                  <c:v>11.343801297060901</c:v>
                </c:pt>
                <c:pt idx="10">
                  <c:v>11.886134294323705</c:v>
                </c:pt>
                <c:pt idx="11">
                  <c:v>12.414239329732203</c:v>
                </c:pt>
                <c:pt idx="12">
                  <c:v>12.93061653473027</c:v>
                </c:pt>
                <c:pt idx="13">
                  <c:v>13.43734621714194</c:v>
                </c:pt>
                <c:pt idx="14">
                  <c:v>13.936182908216322</c:v>
                </c:pt>
                <c:pt idx="15">
                  <c:v>14.42862343236501</c:v>
                </c:pt>
                <c:pt idx="16">
                  <c:v>14.915957299651343</c:v>
                </c:pt>
                <c:pt idx="17">
                  <c:v>15.3993047571559</c:v>
                </c:pt>
                <c:pt idx="18">
                  <c:v>15.879646029618195</c:v>
                </c:pt>
                <c:pt idx="19">
                  <c:v>16.357844144425115</c:v>
                </c:pt>
                <c:pt idx="20">
                  <c:v>16.834663002178019</c:v>
                </c:pt>
                <c:pt idx="21">
                  <c:v>17.310781868002891</c:v>
                </c:pt>
                <c:pt idx="22">
                  <c:v>17.786807129739625</c:v>
                </c:pt>
                <c:pt idx="23">
                  <c:v>18.263281941917345</c:v>
                </c:pt>
                <c:pt idx="24">
                  <c:v>18.74069421480975</c:v>
                </c:pt>
                <c:pt idx="25">
                  <c:v>19.219483293914209</c:v>
                </c:pt>
                <c:pt idx="26">
                  <c:v>19.700045592518936</c:v>
                </c:pt>
                <c:pt idx="27">
                  <c:v>20.182739379536745</c:v>
                </c:pt>
                <c:pt idx="28">
                  <c:v>20.667888879551999</c:v>
                </c:pt>
                <c:pt idx="29">
                  <c:v>21.155787808312617</c:v>
                </c:pt>
                <c:pt idx="30">
                  <c:v>21.646702441074211</c:v>
                </c:pt>
                <c:pt idx="31">
                  <c:v>22.140874291554727</c:v>
                </c:pt>
                <c:pt idx="32">
                  <c:v>22.638522463937829</c:v>
                </c:pt>
                <c:pt idx="33">
                  <c:v>23.13984572855928</c:v>
                </c:pt>
                <c:pt idx="34">
                  <c:v>23.645024362488087</c:v>
                </c:pt>
                <c:pt idx="35">
                  <c:v>24.154221788841465</c:v>
                </c:pt>
                <c:pt idx="36">
                  <c:v>24.667586042817028</c:v>
                </c:pt>
                <c:pt idx="37">
                  <c:v>25.18525108762891</c:v>
                </c:pt>
                <c:pt idx="38">
                  <c:v>25.707337999782371</c:v>
                </c:pt>
                <c:pt idx="39">
                  <c:v>26.233956039990407</c:v>
                </c:pt>
                <c:pt idx="40">
                  <c:v>26.765203623549976</c:v>
                </c:pt>
                <c:pt idx="41">
                  <c:v>27.30116920186299</c:v>
                </c:pt>
                <c:pt idx="42">
                  <c:v>27.841932065155362</c:v>
                </c:pt>
                <c:pt idx="43">
                  <c:v>28.387563074978054</c:v>
                </c:pt>
                <c:pt idx="44">
                  <c:v>28.938125333926347</c:v>
                </c:pt>
                <c:pt idx="45">
                  <c:v>29.493674799006723</c:v>
                </c:pt>
                <c:pt idx="46">
                  <c:v>30.054260844270342</c:v>
                </c:pt>
                <c:pt idx="47">
                  <c:v>30.61992677764594</c:v>
                </c:pt>
                <c:pt idx="48">
                  <c:v>31.190710316272522</c:v>
                </c:pt>
                <c:pt idx="49">
                  <c:v>31.76664402414443</c:v>
                </c:pt>
                <c:pt idx="50">
                  <c:v>32.347755715483352</c:v>
                </c:pt>
                <c:pt idx="51">
                  <c:v>32.934068826828202</c:v>
                </c:pt>
                <c:pt idx="52">
                  <c:v>33.525602760542228</c:v>
                </c:pt>
                <c:pt idx="53">
                  <c:v>34.122373202127939</c:v>
                </c:pt>
                <c:pt idx="54">
                  <c:v>34.724392413570101</c:v>
                </c:pt>
                <c:pt idx="55">
                  <c:v>35.331669504622148</c:v>
                </c:pt>
                <c:pt idx="56">
                  <c:v>35.944210683809601</c:v>
                </c:pt>
                <c:pt idx="57">
                  <c:v>36.56201949077677</c:v>
                </c:pt>
                <c:pt idx="58">
                  <c:v>37.185097011429725</c:v>
                </c:pt>
                <c:pt idx="59">
                  <c:v>37.813442077201124</c:v>
                </c:pt>
                <c:pt idx="60">
                  <c:v>38.447051449647184</c:v>
                </c:pt>
                <c:pt idx="61">
                  <c:v>39.085919991507964</c:v>
                </c:pt>
                <c:pt idx="62">
                  <c:v>39.730040825227171</c:v>
                </c:pt>
                <c:pt idx="63">
                  <c:v>40.379405479875885</c:v>
                </c:pt>
                <c:pt idx="64">
                  <c:v>41.034004027354229</c:v>
                </c:pt>
                <c:pt idx="65">
                  <c:v>41.693825208624091</c:v>
                </c:pt>
                <c:pt idx="66">
                  <c:v>42.358856550740612</c:v>
                </c:pt>
                <c:pt idx="67">
                  <c:v>43.029084475331807</c:v>
                </c:pt>
                <c:pt idx="68">
                  <c:v>43.704494399143584</c:v>
                </c:pt>
                <c:pt idx="69">
                  <c:v>44.385070827239971</c:v>
                </c:pt>
                <c:pt idx="70">
                  <c:v>45.070797439380797</c:v>
                </c:pt>
                <c:pt idx="71">
                  <c:v>45.761657170039157</c:v>
                </c:pt>
                <c:pt idx="72">
                  <c:v>46.457632282583859</c:v>
                </c:pt>
                <c:pt idx="73">
                  <c:v>47.158704437945481</c:v>
                </c:pt>
                <c:pt idx="74">
                  <c:v>47.864854758251518</c:v>
                </c:pt>
                <c:pt idx="75">
                  <c:v>48.576063885727237</c:v>
                </c:pt>
                <c:pt idx="76">
                  <c:v>49.292312037224008</c:v>
                </c:pt>
                <c:pt idx="77">
                  <c:v>50.013579054685465</c:v>
                </c:pt>
                <c:pt idx="78">
                  <c:v>50.739844451837214</c:v>
                </c:pt>
                <c:pt idx="79">
                  <c:v>51.47108745734802</c:v>
                </c:pt>
                <c:pt idx="80">
                  <c:v>52.20728705474027</c:v>
                </c:pt>
                <c:pt idx="81">
                  <c:v>52.948422019280031</c:v>
                </c:pt>
                <c:pt idx="82">
                  <c:v>53.694470952020126</c:v>
                </c:pt>
                <c:pt idx="83">
                  <c:v>54.445412311250912</c:v>
                </c:pt>
                <c:pt idx="84">
                  <c:v>55.201224441502681</c:v>
                </c:pt>
                <c:pt idx="85">
                  <c:v>55.961885600288753</c:v>
                </c:pt>
                <c:pt idx="86">
                  <c:v>56.727373982758586</c:v>
                </c:pt>
                <c:pt idx="87">
                  <c:v>57.497667744368925</c:v>
                </c:pt>
                <c:pt idx="88">
                  <c:v>58.272745021778192</c:v>
                </c:pt>
                <c:pt idx="89">
                  <c:v>59.052583952016263</c:v>
                </c:pt>
                <c:pt idx="90">
                  <c:v>59.837162690123115</c:v>
                </c:pt>
                <c:pt idx="91">
                  <c:v>60.626459425305491</c:v>
                </c:pt>
                <c:pt idx="92">
                  <c:v>61.4204523957414</c:v>
                </c:pt>
                <c:pt idx="93">
                  <c:v>62.219119902159527</c:v>
                </c:pt>
                <c:pt idx="94">
                  <c:v>63.022440320206769</c:v>
                </c:pt>
                <c:pt idx="95">
                  <c:v>63.830392111780228</c:v>
                </c:pt>
                <c:pt idx="96">
                  <c:v>64.64295383530127</c:v>
                </c:pt>
                <c:pt idx="97">
                  <c:v>65.460104155105554</c:v>
                </c:pt>
                <c:pt idx="98">
                  <c:v>66.281821849935881</c:v>
                </c:pt>
                <c:pt idx="99">
                  <c:v>67.108085820640298</c:v>
                </c:pt>
                <c:pt idx="100">
                  <c:v>67.938875097131159</c:v>
                </c:pt>
                <c:pt idx="101">
                  <c:v>68.774168844629003</c:v>
                </c:pt>
                <c:pt idx="102">
                  <c:v>69.613946369297381</c:v>
                </c:pt>
                <c:pt idx="103">
                  <c:v>70.458187123252458</c:v>
                </c:pt>
                <c:pt idx="104">
                  <c:v>71.306870709049491</c:v>
                </c:pt>
                <c:pt idx="105">
                  <c:v>72.159976883628403</c:v>
                </c:pt>
                <c:pt idx="106">
                  <c:v>73.017485561814098</c:v>
                </c:pt>
                <c:pt idx="107">
                  <c:v>73.879376819367423</c:v>
                </c:pt>
                <c:pt idx="108">
                  <c:v>74.745630895615179</c:v>
                </c:pt>
                <c:pt idx="109">
                  <c:v>75.616228195746402</c:v>
                </c:pt>
                <c:pt idx="110">
                  <c:v>76.491149292709835</c:v>
                </c:pt>
                <c:pt idx="111">
                  <c:v>77.370374928843859</c:v>
                </c:pt>
                <c:pt idx="112">
                  <c:v>78.253886017163055</c:v>
                </c:pt>
                <c:pt idx="113">
                  <c:v>79.141663642410734</c:v>
                </c:pt>
                <c:pt idx="114">
                  <c:v>80.033689061839524</c:v>
                </c:pt>
                <c:pt idx="115">
                  <c:v>80.929943705760408</c:v>
                </c:pt>
                <c:pt idx="116">
                  <c:v>81.830409177885059</c:v>
                </c:pt>
                <c:pt idx="117">
                  <c:v>82.735067255474277</c:v>
                </c:pt>
                <c:pt idx="118">
                  <c:v>83.643899889294744</c:v>
                </c:pt>
                <c:pt idx="119">
                  <c:v>84.55688920341936</c:v>
                </c:pt>
                <c:pt idx="120">
                  <c:v>85.474017494875596</c:v>
                </c:pt>
                <c:pt idx="121">
                  <c:v>86.395267233150605</c:v>
                </c:pt>
                <c:pt idx="122">
                  <c:v>87.320621059571138</c:v>
                </c:pt>
                <c:pt idx="123">
                  <c:v>88.25006178656561</c:v>
                </c:pt>
                <c:pt idx="124">
                  <c:v>89.183572396828694</c:v>
                </c:pt>
                <c:pt idx="125">
                  <c:v>90.121136042379064</c:v>
                </c:pt>
                <c:pt idx="126">
                  <c:v>91.062736043531785</c:v>
                </c:pt>
                <c:pt idx="127">
                  <c:v>92.008355887796057</c:v>
                </c:pt>
                <c:pt idx="128">
                  <c:v>92.957979228705454</c:v>
                </c:pt>
                <c:pt idx="129">
                  <c:v>93.911589884567036</c:v>
                </c:pt>
                <c:pt idx="130">
                  <c:v>94.869171837165041</c:v>
                </c:pt>
                <c:pt idx="131">
                  <c:v>95.830709230421959</c:v>
                </c:pt>
                <c:pt idx="132">
                  <c:v>96.796186368991656</c:v>
                </c:pt>
                <c:pt idx="133">
                  <c:v>97.765587716822949</c:v>
                </c:pt>
                <c:pt idx="134">
                  <c:v>98.738897895695573</c:v>
                </c:pt>
                <c:pt idx="135">
                  <c:v>99.716101683711898</c:v>
                </c:pt>
                <c:pt idx="136">
                  <c:v>100.69718401375958</c:v>
                </c:pt>
                <c:pt idx="137">
                  <c:v>101.68212997196993</c:v>
                </c:pt>
                <c:pt idx="138">
                  <c:v>102.67092479613306</c:v>
                </c:pt>
                <c:pt idx="139">
                  <c:v>103.66355387411807</c:v>
                </c:pt>
                <c:pt idx="140">
                  <c:v>104.66000274225632</c:v>
                </c:pt>
                <c:pt idx="141">
                  <c:v>105.66025708374177</c:v>
                </c:pt>
                <c:pt idx="142">
                  <c:v>106.66430272699807</c:v>
                </c:pt>
                <c:pt idx="143">
                  <c:v>107.67212564405055</c:v>
                </c:pt>
                <c:pt idx="144">
                  <c:v>108.68371194890963</c:v>
                </c:pt>
                <c:pt idx="145">
                  <c:v>109.69904789591735</c:v>
                </c:pt>
                <c:pt idx="146">
                  <c:v>110.71811987813402</c:v>
                </c:pt>
                <c:pt idx="147">
                  <c:v>111.74091442570032</c:v>
                </c:pt>
                <c:pt idx="148">
                  <c:v>112.76741820421128</c:v>
                </c:pt>
                <c:pt idx="149">
                  <c:v>113.7976180130978</c:v>
                </c:pt>
                <c:pt idx="150">
                  <c:v>114.83150078401901</c:v>
                </c:pt>
                <c:pt idx="151">
                  <c:v>115.86905357924155</c:v>
                </c:pt>
                <c:pt idx="152">
                  <c:v>116.91026359006099</c:v>
                </c:pt>
                <c:pt idx="153">
                  <c:v>117.95511813520208</c:v>
                </c:pt>
                <c:pt idx="154">
                  <c:v>119.00360465924854</c:v>
                </c:pt>
                <c:pt idx="155">
                  <c:v>120.05571073107595</c:v>
                </c:pt>
                <c:pt idx="156">
                  <c:v>121.11142404230164</c:v>
                </c:pt>
                <c:pt idx="157">
                  <c:v>122.17073240574882</c:v>
                </c:pt>
                <c:pt idx="158">
                  <c:v>123.23362375391119</c:v>
                </c:pt>
                <c:pt idx="159">
                  <c:v>124.30008613745686</c:v>
                </c:pt>
                <c:pt idx="160">
                  <c:v>125.37010772371363</c:v>
                </c:pt>
                <c:pt idx="161">
                  <c:v>126.44367679520889</c:v>
                </c:pt>
                <c:pt idx="162">
                  <c:v>127.52078174818502</c:v>
                </c:pt>
                <c:pt idx="163">
                  <c:v>128.60141109115864</c:v>
                </c:pt>
                <c:pt idx="164">
                  <c:v>129.68555344348556</c:v>
                </c:pt>
                <c:pt idx="165">
                  <c:v>130.77319753394241</c:v>
                </c:pt>
                <c:pt idx="166">
                  <c:v>131.86433219932047</c:v>
                </c:pt>
                <c:pt idx="167">
                  <c:v>132.95894638304978</c:v>
                </c:pt>
                <c:pt idx="168">
                  <c:v>134.05702913382646</c:v>
                </c:pt>
                <c:pt idx="169">
                  <c:v>135.15856960425683</c:v>
                </c:pt>
                <c:pt idx="170">
                  <c:v>136.2635570495319</c:v>
                </c:pt>
                <c:pt idx="171">
                  <c:v>137.37198082610342</c:v>
                </c:pt>
                <c:pt idx="172">
                  <c:v>138.48383039038654</c:v>
                </c:pt>
                <c:pt idx="173">
                  <c:v>139.59909529747526</c:v>
                </c:pt>
                <c:pt idx="174">
                  <c:v>140.71776519987753</c:v>
                </c:pt>
                <c:pt idx="175">
                  <c:v>141.83982984625848</c:v>
                </c:pt>
                <c:pt idx="176">
                  <c:v>142.96527908022267</c:v>
                </c:pt>
                <c:pt idx="177">
                  <c:v>144.09410283907982</c:v>
                </c:pt>
                <c:pt idx="178">
                  <c:v>145.22629115266395</c:v>
                </c:pt>
                <c:pt idx="179">
                  <c:v>146.36183414213266</c:v>
                </c:pt>
                <c:pt idx="180">
                  <c:v>147.50072201881747</c:v>
                </c:pt>
                <c:pt idx="181">
                  <c:v>148.64294508306349</c:v>
                </c:pt>
                <c:pt idx="182">
                  <c:v>149.78849372309932</c:v>
                </c:pt>
                <c:pt idx="183">
                  <c:v>150.93735841392035</c:v>
                </c:pt>
                <c:pt idx="184">
                  <c:v>152.08952971619064</c:v>
                </c:pt>
                <c:pt idx="185">
                  <c:v>153.24499827514902</c:v>
                </c:pt>
                <c:pt idx="186">
                  <c:v>154.40375481954956</c:v>
                </c:pt>
                <c:pt idx="187">
                  <c:v>155.56579016059737</c:v>
                </c:pt>
                <c:pt idx="188">
                  <c:v>156.73109519091787</c:v>
                </c:pt>
                <c:pt idx="189">
                  <c:v>157.89966088353444</c:v>
                </c:pt>
                <c:pt idx="190">
                  <c:v>159.07147829084931</c:v>
                </c:pt>
                <c:pt idx="191">
                  <c:v>160.24653854366022</c:v>
                </c:pt>
                <c:pt idx="192">
                  <c:v>161.42483285018017</c:v>
                </c:pt>
                <c:pt idx="193">
                  <c:v>162.60635249506657</c:v>
                </c:pt>
                <c:pt idx="194">
                  <c:v>163.79108883847729</c:v>
                </c:pt>
                <c:pt idx="195">
                  <c:v>164.97903331513544</c:v>
                </c:pt>
                <c:pt idx="196">
                  <c:v>166.17017743339878</c:v>
                </c:pt>
                <c:pt idx="197">
                  <c:v>167.36451277436495</c:v>
                </c:pt>
                <c:pt idx="198">
                  <c:v>168.56203099096291</c:v>
                </c:pt>
                <c:pt idx="199">
                  <c:v>169.76272380708127</c:v>
                </c:pt>
                <c:pt idx="200">
                  <c:v>170.96658301669726</c:v>
                </c:pt>
                <c:pt idx="201">
                  <c:v>172.17360048302038</c:v>
                </c:pt>
                <c:pt idx="202">
                  <c:v>173.38376813765063</c:v>
                </c:pt>
              </c:numCache>
            </c:numRef>
          </c:xVal>
          <c:yVal>
            <c:numRef>
              <c:f>'Strength analysis calculations'!$S$5:$S$207</c:f>
              <c:numCache>
                <c:formatCode>General</c:formatCode>
                <c:ptCount val="203"/>
                <c:pt idx="0">
                  <c:v>71068.62000000001</c:v>
                </c:pt>
                <c:pt idx="1">
                  <c:v>71068.62000000001</c:v>
                </c:pt>
                <c:pt idx="2">
                  <c:v>71068.62000000001</c:v>
                </c:pt>
                <c:pt idx="3">
                  <c:v>71068.62000000001</c:v>
                </c:pt>
                <c:pt idx="4">
                  <c:v>71068.62000000001</c:v>
                </c:pt>
                <c:pt idx="5">
                  <c:v>71068.62000000001</c:v>
                </c:pt>
                <c:pt idx="6">
                  <c:v>71068.62000000001</c:v>
                </c:pt>
                <c:pt idx="7">
                  <c:v>71068.62000000001</c:v>
                </c:pt>
                <c:pt idx="8">
                  <c:v>71068.62000000001</c:v>
                </c:pt>
                <c:pt idx="9">
                  <c:v>71068.62000000001</c:v>
                </c:pt>
                <c:pt idx="10">
                  <c:v>71068.62000000001</c:v>
                </c:pt>
                <c:pt idx="11">
                  <c:v>71068.62000000001</c:v>
                </c:pt>
                <c:pt idx="12">
                  <c:v>71068.62000000001</c:v>
                </c:pt>
                <c:pt idx="13">
                  <c:v>71068.62000000001</c:v>
                </c:pt>
                <c:pt idx="14">
                  <c:v>71068.62000000001</c:v>
                </c:pt>
                <c:pt idx="15">
                  <c:v>71068.62000000001</c:v>
                </c:pt>
                <c:pt idx="16">
                  <c:v>71068.62000000001</c:v>
                </c:pt>
                <c:pt idx="17">
                  <c:v>71068.62000000001</c:v>
                </c:pt>
                <c:pt idx="18">
                  <c:v>71068.62000000001</c:v>
                </c:pt>
                <c:pt idx="19">
                  <c:v>71068.62000000001</c:v>
                </c:pt>
                <c:pt idx="20">
                  <c:v>71068.62000000001</c:v>
                </c:pt>
                <c:pt idx="21">
                  <c:v>71068.62000000001</c:v>
                </c:pt>
                <c:pt idx="22">
                  <c:v>71068.62000000001</c:v>
                </c:pt>
                <c:pt idx="23">
                  <c:v>71068.62000000001</c:v>
                </c:pt>
                <c:pt idx="24">
                  <c:v>71068.62000000001</c:v>
                </c:pt>
                <c:pt idx="25">
                  <c:v>71068.62000000001</c:v>
                </c:pt>
                <c:pt idx="26">
                  <c:v>71068.62000000001</c:v>
                </c:pt>
                <c:pt idx="27">
                  <c:v>71068.62000000001</c:v>
                </c:pt>
                <c:pt idx="28">
                  <c:v>71068.62000000001</c:v>
                </c:pt>
                <c:pt idx="29">
                  <c:v>71068.62000000001</c:v>
                </c:pt>
                <c:pt idx="30">
                  <c:v>71068.62000000001</c:v>
                </c:pt>
                <c:pt idx="31">
                  <c:v>71068.62000000001</c:v>
                </c:pt>
                <c:pt idx="32">
                  <c:v>71068.62000000001</c:v>
                </c:pt>
                <c:pt idx="33">
                  <c:v>71068.62000000001</c:v>
                </c:pt>
                <c:pt idx="34">
                  <c:v>71068.62000000001</c:v>
                </c:pt>
                <c:pt idx="35">
                  <c:v>71068.62000000001</c:v>
                </c:pt>
                <c:pt idx="36">
                  <c:v>71068.62000000001</c:v>
                </c:pt>
                <c:pt idx="37">
                  <c:v>71068.62000000001</c:v>
                </c:pt>
                <c:pt idx="38">
                  <c:v>71068.62000000001</c:v>
                </c:pt>
                <c:pt idx="39">
                  <c:v>71068.62000000001</c:v>
                </c:pt>
                <c:pt idx="40">
                  <c:v>71068.62000000001</c:v>
                </c:pt>
                <c:pt idx="41">
                  <c:v>71068.62000000001</c:v>
                </c:pt>
                <c:pt idx="42">
                  <c:v>71068.62000000001</c:v>
                </c:pt>
                <c:pt idx="43">
                  <c:v>71068.62000000001</c:v>
                </c:pt>
                <c:pt idx="44">
                  <c:v>71068.62000000001</c:v>
                </c:pt>
                <c:pt idx="45">
                  <c:v>71068.62000000001</c:v>
                </c:pt>
                <c:pt idx="46">
                  <c:v>71068.62000000001</c:v>
                </c:pt>
                <c:pt idx="47">
                  <c:v>71068.62000000001</c:v>
                </c:pt>
                <c:pt idx="48">
                  <c:v>71068.62000000001</c:v>
                </c:pt>
                <c:pt idx="49">
                  <c:v>71068.62000000001</c:v>
                </c:pt>
                <c:pt idx="50">
                  <c:v>71068.62000000001</c:v>
                </c:pt>
                <c:pt idx="51">
                  <c:v>71068.62000000001</c:v>
                </c:pt>
                <c:pt idx="52">
                  <c:v>71068.62000000001</c:v>
                </c:pt>
                <c:pt idx="53">
                  <c:v>71068.62000000001</c:v>
                </c:pt>
                <c:pt idx="54">
                  <c:v>71068.62000000001</c:v>
                </c:pt>
                <c:pt idx="55">
                  <c:v>71068.62000000001</c:v>
                </c:pt>
                <c:pt idx="56">
                  <c:v>71068.62000000001</c:v>
                </c:pt>
                <c:pt idx="57">
                  <c:v>71068.62000000001</c:v>
                </c:pt>
                <c:pt idx="58">
                  <c:v>71068.62000000001</c:v>
                </c:pt>
                <c:pt idx="59">
                  <c:v>71068.62000000001</c:v>
                </c:pt>
                <c:pt idx="60">
                  <c:v>71068.62000000001</c:v>
                </c:pt>
                <c:pt idx="61">
                  <c:v>71068.62000000001</c:v>
                </c:pt>
                <c:pt idx="62">
                  <c:v>71068.62000000001</c:v>
                </c:pt>
                <c:pt idx="63">
                  <c:v>71068.62000000001</c:v>
                </c:pt>
                <c:pt idx="64">
                  <c:v>71068.62000000001</c:v>
                </c:pt>
                <c:pt idx="65">
                  <c:v>71068.62000000001</c:v>
                </c:pt>
                <c:pt idx="66">
                  <c:v>71068.62000000001</c:v>
                </c:pt>
                <c:pt idx="67">
                  <c:v>71068.62000000001</c:v>
                </c:pt>
                <c:pt idx="68">
                  <c:v>71068.62000000001</c:v>
                </c:pt>
                <c:pt idx="69">
                  <c:v>71068.62000000001</c:v>
                </c:pt>
                <c:pt idx="70">
                  <c:v>71068.62000000001</c:v>
                </c:pt>
                <c:pt idx="71">
                  <c:v>71068.62000000001</c:v>
                </c:pt>
                <c:pt idx="72">
                  <c:v>71068.62000000001</c:v>
                </c:pt>
                <c:pt idx="73">
                  <c:v>71068.62000000001</c:v>
                </c:pt>
                <c:pt idx="74">
                  <c:v>71068.62000000001</c:v>
                </c:pt>
                <c:pt idx="75">
                  <c:v>71068.62000000001</c:v>
                </c:pt>
                <c:pt idx="76">
                  <c:v>71068.62000000001</c:v>
                </c:pt>
                <c:pt idx="77">
                  <c:v>71068.62000000001</c:v>
                </c:pt>
                <c:pt idx="78">
                  <c:v>71068.62000000001</c:v>
                </c:pt>
                <c:pt idx="79">
                  <c:v>71068.62000000001</c:v>
                </c:pt>
                <c:pt idx="80">
                  <c:v>71068.62000000001</c:v>
                </c:pt>
                <c:pt idx="81">
                  <c:v>71068.62000000001</c:v>
                </c:pt>
                <c:pt idx="82">
                  <c:v>71068.62000000001</c:v>
                </c:pt>
                <c:pt idx="83">
                  <c:v>71068.62000000001</c:v>
                </c:pt>
                <c:pt idx="84">
                  <c:v>71068.62000000001</c:v>
                </c:pt>
                <c:pt idx="85">
                  <c:v>71068.62000000001</c:v>
                </c:pt>
                <c:pt idx="86">
                  <c:v>71068.62000000001</c:v>
                </c:pt>
                <c:pt idx="87">
                  <c:v>71068.62000000001</c:v>
                </c:pt>
                <c:pt idx="88">
                  <c:v>71068.62000000001</c:v>
                </c:pt>
                <c:pt idx="89">
                  <c:v>71068.62000000001</c:v>
                </c:pt>
                <c:pt idx="90">
                  <c:v>71068.62000000001</c:v>
                </c:pt>
                <c:pt idx="91">
                  <c:v>71068.62000000001</c:v>
                </c:pt>
                <c:pt idx="92">
                  <c:v>71068.62000000001</c:v>
                </c:pt>
                <c:pt idx="93">
                  <c:v>71068.62000000001</c:v>
                </c:pt>
                <c:pt idx="94">
                  <c:v>71068.62000000001</c:v>
                </c:pt>
                <c:pt idx="95">
                  <c:v>71068.62000000001</c:v>
                </c:pt>
                <c:pt idx="96">
                  <c:v>71068.62000000001</c:v>
                </c:pt>
                <c:pt idx="97">
                  <c:v>71068.62000000001</c:v>
                </c:pt>
                <c:pt idx="98">
                  <c:v>71068.62000000001</c:v>
                </c:pt>
                <c:pt idx="99">
                  <c:v>71068.62000000001</c:v>
                </c:pt>
                <c:pt idx="100">
                  <c:v>71068.62000000001</c:v>
                </c:pt>
                <c:pt idx="101">
                  <c:v>71068.62000000001</c:v>
                </c:pt>
                <c:pt idx="102">
                  <c:v>71068.62000000001</c:v>
                </c:pt>
                <c:pt idx="103">
                  <c:v>71068.62000000001</c:v>
                </c:pt>
                <c:pt idx="104">
                  <c:v>71068.62000000001</c:v>
                </c:pt>
                <c:pt idx="105">
                  <c:v>71068.62000000001</c:v>
                </c:pt>
                <c:pt idx="106">
                  <c:v>71068.62000000001</c:v>
                </c:pt>
                <c:pt idx="107">
                  <c:v>71068.62000000001</c:v>
                </c:pt>
                <c:pt idx="108">
                  <c:v>71068.62000000001</c:v>
                </c:pt>
                <c:pt idx="109">
                  <c:v>71068.62000000001</c:v>
                </c:pt>
                <c:pt idx="110">
                  <c:v>71068.62000000001</c:v>
                </c:pt>
                <c:pt idx="111">
                  <c:v>71068.62000000001</c:v>
                </c:pt>
                <c:pt idx="112">
                  <c:v>71068.62000000001</c:v>
                </c:pt>
                <c:pt idx="113">
                  <c:v>71068.62000000001</c:v>
                </c:pt>
                <c:pt idx="114">
                  <c:v>71068.62000000001</c:v>
                </c:pt>
                <c:pt idx="115">
                  <c:v>71068.62000000001</c:v>
                </c:pt>
                <c:pt idx="116">
                  <c:v>71068.62000000001</c:v>
                </c:pt>
                <c:pt idx="117">
                  <c:v>71068.62000000001</c:v>
                </c:pt>
                <c:pt idx="118">
                  <c:v>71068.62000000001</c:v>
                </c:pt>
                <c:pt idx="119">
                  <c:v>71068.62000000001</c:v>
                </c:pt>
                <c:pt idx="120">
                  <c:v>71068.62000000001</c:v>
                </c:pt>
                <c:pt idx="121">
                  <c:v>71068.62000000001</c:v>
                </c:pt>
                <c:pt idx="122">
                  <c:v>71068.62000000001</c:v>
                </c:pt>
                <c:pt idx="123">
                  <c:v>71068.62000000001</c:v>
                </c:pt>
                <c:pt idx="124">
                  <c:v>71068.62000000001</c:v>
                </c:pt>
                <c:pt idx="125">
                  <c:v>71068.62000000001</c:v>
                </c:pt>
                <c:pt idx="126">
                  <c:v>71068.62000000001</c:v>
                </c:pt>
                <c:pt idx="127">
                  <c:v>71068.62000000001</c:v>
                </c:pt>
                <c:pt idx="128">
                  <c:v>71068.62000000001</c:v>
                </c:pt>
                <c:pt idx="129">
                  <c:v>71068.62000000001</c:v>
                </c:pt>
                <c:pt idx="130">
                  <c:v>71068.62000000001</c:v>
                </c:pt>
                <c:pt idx="131">
                  <c:v>71068.62000000001</c:v>
                </c:pt>
                <c:pt idx="132">
                  <c:v>71068.62000000001</c:v>
                </c:pt>
                <c:pt idx="133">
                  <c:v>71068.62000000001</c:v>
                </c:pt>
                <c:pt idx="134">
                  <c:v>71068.62000000001</c:v>
                </c:pt>
                <c:pt idx="135">
                  <c:v>71068.62000000001</c:v>
                </c:pt>
                <c:pt idx="136">
                  <c:v>71068.62000000001</c:v>
                </c:pt>
                <c:pt idx="137">
                  <c:v>71068.62000000001</c:v>
                </c:pt>
                <c:pt idx="138">
                  <c:v>71068.62000000001</c:v>
                </c:pt>
                <c:pt idx="139">
                  <c:v>71068.62000000001</c:v>
                </c:pt>
                <c:pt idx="140">
                  <c:v>71068.62000000001</c:v>
                </c:pt>
                <c:pt idx="141">
                  <c:v>71068.62000000001</c:v>
                </c:pt>
                <c:pt idx="142">
                  <c:v>71068.62000000001</c:v>
                </c:pt>
                <c:pt idx="143">
                  <c:v>71068.62000000001</c:v>
                </c:pt>
                <c:pt idx="144">
                  <c:v>71068.62000000001</c:v>
                </c:pt>
                <c:pt idx="145">
                  <c:v>71068.62000000001</c:v>
                </c:pt>
                <c:pt idx="146">
                  <c:v>71068.62000000001</c:v>
                </c:pt>
                <c:pt idx="147">
                  <c:v>71068.62000000001</c:v>
                </c:pt>
                <c:pt idx="148">
                  <c:v>71068.62000000001</c:v>
                </c:pt>
                <c:pt idx="149">
                  <c:v>71068.62000000001</c:v>
                </c:pt>
                <c:pt idx="150">
                  <c:v>71068.62000000001</c:v>
                </c:pt>
                <c:pt idx="151">
                  <c:v>71068.62000000001</c:v>
                </c:pt>
                <c:pt idx="152">
                  <c:v>71068.62000000001</c:v>
                </c:pt>
                <c:pt idx="153">
                  <c:v>71068.62000000001</c:v>
                </c:pt>
                <c:pt idx="154">
                  <c:v>71068.62000000001</c:v>
                </c:pt>
                <c:pt idx="155">
                  <c:v>71068.62000000001</c:v>
                </c:pt>
                <c:pt idx="156">
                  <c:v>71068.62000000001</c:v>
                </c:pt>
                <c:pt idx="157">
                  <c:v>71068.62000000001</c:v>
                </c:pt>
                <c:pt idx="158">
                  <c:v>71068.62000000001</c:v>
                </c:pt>
                <c:pt idx="159">
                  <c:v>71068.62000000001</c:v>
                </c:pt>
                <c:pt idx="160">
                  <c:v>71068.62000000001</c:v>
                </c:pt>
                <c:pt idx="161">
                  <c:v>71068.62000000001</c:v>
                </c:pt>
                <c:pt idx="162">
                  <c:v>71068.62000000001</c:v>
                </c:pt>
                <c:pt idx="163">
                  <c:v>71068.62000000001</c:v>
                </c:pt>
                <c:pt idx="164">
                  <c:v>71068.62000000001</c:v>
                </c:pt>
                <c:pt idx="165">
                  <c:v>71068.62000000001</c:v>
                </c:pt>
                <c:pt idx="166">
                  <c:v>71068.62000000001</c:v>
                </c:pt>
                <c:pt idx="167">
                  <c:v>71068.62000000001</c:v>
                </c:pt>
                <c:pt idx="168">
                  <c:v>71068.62000000001</c:v>
                </c:pt>
                <c:pt idx="169">
                  <c:v>71068.62000000001</c:v>
                </c:pt>
                <c:pt idx="170">
                  <c:v>71068.62000000001</c:v>
                </c:pt>
                <c:pt idx="171">
                  <c:v>71068.62000000001</c:v>
                </c:pt>
                <c:pt idx="172">
                  <c:v>71068.62000000001</c:v>
                </c:pt>
                <c:pt idx="173">
                  <c:v>71068.62000000001</c:v>
                </c:pt>
                <c:pt idx="174">
                  <c:v>71068.62000000001</c:v>
                </c:pt>
                <c:pt idx="175">
                  <c:v>71068.62000000001</c:v>
                </c:pt>
                <c:pt idx="176">
                  <c:v>71068.62000000001</c:v>
                </c:pt>
                <c:pt idx="177">
                  <c:v>71068.62000000001</c:v>
                </c:pt>
                <c:pt idx="178">
                  <c:v>71068.62000000001</c:v>
                </c:pt>
                <c:pt idx="179">
                  <c:v>71068.62000000001</c:v>
                </c:pt>
                <c:pt idx="180">
                  <c:v>71068.62000000001</c:v>
                </c:pt>
                <c:pt idx="181">
                  <c:v>71068.62000000001</c:v>
                </c:pt>
                <c:pt idx="182">
                  <c:v>71068.62000000001</c:v>
                </c:pt>
                <c:pt idx="183">
                  <c:v>71068.62000000001</c:v>
                </c:pt>
                <c:pt idx="184">
                  <c:v>71068.62000000001</c:v>
                </c:pt>
                <c:pt idx="185">
                  <c:v>71068.62000000001</c:v>
                </c:pt>
                <c:pt idx="186">
                  <c:v>71068.62000000001</c:v>
                </c:pt>
                <c:pt idx="187">
                  <c:v>71068.62000000001</c:v>
                </c:pt>
                <c:pt idx="188">
                  <c:v>71068.62000000001</c:v>
                </c:pt>
                <c:pt idx="189">
                  <c:v>71068.62000000001</c:v>
                </c:pt>
                <c:pt idx="190">
                  <c:v>71068.62000000001</c:v>
                </c:pt>
                <c:pt idx="191">
                  <c:v>71068.62000000001</c:v>
                </c:pt>
                <c:pt idx="192">
                  <c:v>71068.62000000001</c:v>
                </c:pt>
                <c:pt idx="193">
                  <c:v>71068.62000000001</c:v>
                </c:pt>
                <c:pt idx="194">
                  <c:v>71068.62000000001</c:v>
                </c:pt>
                <c:pt idx="195">
                  <c:v>71068.62000000001</c:v>
                </c:pt>
                <c:pt idx="196">
                  <c:v>71068.62000000001</c:v>
                </c:pt>
                <c:pt idx="197">
                  <c:v>71068.62000000001</c:v>
                </c:pt>
                <c:pt idx="198">
                  <c:v>71068.62000000001</c:v>
                </c:pt>
                <c:pt idx="199">
                  <c:v>71068.62000000001</c:v>
                </c:pt>
                <c:pt idx="200">
                  <c:v>71068.62000000001</c:v>
                </c:pt>
                <c:pt idx="201">
                  <c:v>71068.62000000001</c:v>
                </c:pt>
                <c:pt idx="202">
                  <c:v>71068.62000000001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73F5-44E8-9C82-6383218633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6393440"/>
        <c:axId val="326393832"/>
      </c:scatterChart>
      <c:valAx>
        <c:axId val="326393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sz="1800"/>
                  <a:t>Wind Speed (kph)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393832"/>
        <c:crosses val="autoZero"/>
        <c:crossBetween val="midCat"/>
      </c:valAx>
      <c:valAx>
        <c:axId val="326393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sz="1800"/>
                  <a:t>Wire Stress (psi)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3934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rotWithShape="1">
      <a:gsLst>
        <a:gs pos="0">
          <a:schemeClr val="accent1">
            <a:lumMod val="110000"/>
            <a:satMod val="105000"/>
            <a:tint val="67000"/>
          </a:schemeClr>
        </a:gs>
        <a:gs pos="50000">
          <a:schemeClr val="accent1">
            <a:lumMod val="105000"/>
            <a:satMod val="103000"/>
            <a:tint val="73000"/>
          </a:schemeClr>
        </a:gs>
        <a:gs pos="100000">
          <a:schemeClr val="accent1">
            <a:lumMod val="105000"/>
            <a:satMod val="109000"/>
            <a:tint val="81000"/>
          </a:schemeClr>
        </a:gs>
      </a:gsLst>
      <a:lin ang="5400000" scaled="0"/>
    </a:gradFill>
    <a:ln w="19050" cap="flat" cmpd="sng" algn="ctr">
      <a:solidFill>
        <a:sysClr val="windowText" lastClr="000000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419100</xdr:colOff>
      <xdr:row>3</xdr:row>
      <xdr:rowOff>95250</xdr:rowOff>
    </xdr:from>
    <xdr:ext cx="184731" cy="264560"/>
    <xdr:sp macro="" textlink="">
      <xdr:nvSpPr>
        <xdr:cNvPr id="2" name="TextBox 1"/>
        <xdr:cNvSpPr txBox="1"/>
      </xdr:nvSpPr>
      <xdr:spPr>
        <a:xfrm>
          <a:off x="106680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twoCellAnchor editAs="oneCell">
    <xdr:from>
      <xdr:col>0</xdr:col>
      <xdr:colOff>314327</xdr:colOff>
      <xdr:row>1</xdr:row>
      <xdr:rowOff>128586</xdr:rowOff>
    </xdr:from>
    <xdr:to>
      <xdr:col>10</xdr:col>
      <xdr:colOff>280989</xdr:colOff>
      <xdr:row>49</xdr:row>
      <xdr:rowOff>13963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7" y="314324"/>
          <a:ext cx="6443662" cy="8572177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35717</xdr:colOff>
      <xdr:row>1</xdr:row>
      <xdr:rowOff>202406</xdr:rowOff>
    </xdr:from>
    <xdr:to>
      <xdr:col>3</xdr:col>
      <xdr:colOff>684609</xdr:colOff>
      <xdr:row>3</xdr:row>
      <xdr:rowOff>255984</xdr:rowOff>
    </xdr:to>
    <xdr:sp macro="" textlink="">
      <xdr:nvSpPr>
        <xdr:cNvPr id="7" name="Bent-Up Arrow 6"/>
        <xdr:cNvSpPr/>
      </xdr:nvSpPr>
      <xdr:spPr>
        <a:xfrm flipV="1">
          <a:off x="2202655" y="327422"/>
          <a:ext cx="648892" cy="607218"/>
        </a:xfrm>
        <a:prstGeom prst="bentUp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oneCellAnchor>
    <xdr:from>
      <xdr:col>2</xdr:col>
      <xdr:colOff>11905</xdr:colOff>
      <xdr:row>1</xdr:row>
      <xdr:rowOff>59528</xdr:rowOff>
    </xdr:from>
    <xdr:ext cx="1875234" cy="436786"/>
    <xdr:sp macro="" textlink="">
      <xdr:nvSpPr>
        <xdr:cNvPr id="8" name="TextBox 7"/>
        <xdr:cNvSpPr txBox="1"/>
      </xdr:nvSpPr>
      <xdr:spPr>
        <a:xfrm>
          <a:off x="446484" y="190497"/>
          <a:ext cx="1875234" cy="436786"/>
        </a:xfrm>
        <a:prstGeom prst="rect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CA" sz="1100">
              <a:solidFill>
                <a:schemeClr val="bg1"/>
              </a:solidFill>
            </a:rPr>
            <a:t>***Fill</a:t>
          </a:r>
          <a:r>
            <a:rPr lang="en-CA" sz="1100" baseline="0">
              <a:solidFill>
                <a:schemeClr val="bg1"/>
              </a:solidFill>
            </a:rPr>
            <a:t> in the correct information in this column</a:t>
          </a:r>
          <a:endParaRPr lang="en-CA" sz="1100">
            <a:solidFill>
              <a:schemeClr val="bg1"/>
            </a:solidFill>
          </a:endParaRPr>
        </a:p>
      </xdr:txBody>
    </xdr:sp>
    <xdr:clientData/>
  </xdr:oneCellAnchor>
  <xdr:twoCellAnchor>
    <xdr:from>
      <xdr:col>20</xdr:col>
      <xdr:colOff>107157</xdr:colOff>
      <xdr:row>0</xdr:row>
      <xdr:rowOff>5953</xdr:rowOff>
    </xdr:from>
    <xdr:to>
      <xdr:col>33</xdr:col>
      <xdr:colOff>199858</xdr:colOff>
      <xdr:row>25</xdr:row>
      <xdr:rowOff>135051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28</xdr:col>
      <xdr:colOff>580134</xdr:colOff>
      <xdr:row>14</xdr:row>
      <xdr:rowOff>171450</xdr:rowOff>
    </xdr:from>
    <xdr:ext cx="2516331" cy="1219565"/>
    <xdr:sp macro="" textlink="">
      <xdr:nvSpPr>
        <xdr:cNvPr id="2" name="TextBox 1"/>
        <xdr:cNvSpPr txBox="1"/>
      </xdr:nvSpPr>
      <xdr:spPr>
        <a:xfrm>
          <a:off x="19572984" y="3128963"/>
          <a:ext cx="2516331" cy="1219565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CA" sz="1800"/>
            <a:t>The wire will</a:t>
          </a:r>
          <a:r>
            <a:rPr lang="en-CA" sz="1800" baseline="0"/>
            <a:t> fail when</a:t>
          </a:r>
        </a:p>
        <a:p>
          <a:pPr algn="ctr"/>
          <a:r>
            <a:rPr lang="en-CA" sz="1800" baseline="0"/>
            <a:t>the wind speed is above</a:t>
          </a:r>
        </a:p>
        <a:p>
          <a:pPr algn="ctr"/>
          <a:r>
            <a:rPr lang="en-CA" sz="1800" baseline="0"/>
            <a:t>the intersection point of </a:t>
          </a:r>
        </a:p>
        <a:p>
          <a:pPr algn="ctr"/>
          <a:r>
            <a:rPr lang="en-CA" sz="1800" baseline="0"/>
            <a:t>the two lines.</a:t>
          </a:r>
          <a:endParaRPr lang="en-CA" sz="18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233361</xdr:colOff>
      <xdr:row>1</xdr:row>
      <xdr:rowOff>4761</xdr:rowOff>
    </xdr:from>
    <xdr:to>
      <xdr:col>12</xdr:col>
      <xdr:colOff>1000124</xdr:colOff>
      <xdr:row>26</xdr:row>
      <xdr:rowOff>147636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176893</xdr:rowOff>
    </xdr:from>
    <xdr:to>
      <xdr:col>7</xdr:col>
      <xdr:colOff>66675</xdr:colOff>
      <xdr:row>77</xdr:row>
      <xdr:rowOff>161925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workbookViewId="0">
      <selection activeCell="F54" sqref="F54"/>
    </sheetView>
  </sheetViews>
  <sheetFormatPr defaultRowHeight="15" x14ac:dyDescent="0.25"/>
  <cols>
    <col min="10" max="11" width="9" customWidth="1"/>
  </cols>
  <sheetData>
    <row r="1" spans="1:11" ht="15.75" thickTop="1" x14ac:dyDescent="0.25">
      <c r="A1" s="15"/>
      <c r="B1" s="16"/>
      <c r="C1" s="16"/>
      <c r="D1" s="16"/>
      <c r="E1" s="16"/>
      <c r="F1" s="16"/>
      <c r="G1" s="16"/>
      <c r="H1" s="16"/>
      <c r="I1" s="16"/>
      <c r="J1" s="16"/>
      <c r="K1" s="17"/>
    </row>
    <row r="2" spans="1:1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3"/>
    </row>
    <row r="3" spans="1:11" x14ac:dyDescent="0.25">
      <c r="A3" s="9"/>
      <c r="B3" s="10"/>
      <c r="C3" s="10"/>
      <c r="D3" s="10"/>
      <c r="E3" s="10"/>
      <c r="F3" s="10"/>
      <c r="G3" s="10"/>
      <c r="H3" s="10"/>
      <c r="I3" s="10"/>
      <c r="J3" s="10"/>
      <c r="K3" s="13"/>
    </row>
    <row r="4" spans="1:11" x14ac:dyDescent="0.25">
      <c r="A4" s="9"/>
      <c r="B4" s="10"/>
      <c r="C4" s="10"/>
      <c r="D4" s="10"/>
      <c r="E4" s="10"/>
      <c r="F4" s="10"/>
      <c r="G4" s="10"/>
      <c r="H4" s="10"/>
      <c r="I4" s="10"/>
      <c r="J4" s="10"/>
      <c r="K4" s="13"/>
    </row>
    <row r="5" spans="1:11" x14ac:dyDescent="0.25">
      <c r="A5" s="9"/>
      <c r="B5" s="10"/>
      <c r="C5" s="10"/>
      <c r="D5" s="10"/>
      <c r="E5" s="10"/>
      <c r="F5" s="10"/>
      <c r="G5" s="10"/>
      <c r="H5" s="10"/>
      <c r="I5" s="10"/>
      <c r="J5" s="10"/>
      <c r="K5" s="13"/>
    </row>
    <row r="6" spans="1:11" x14ac:dyDescent="0.25">
      <c r="A6" s="9"/>
      <c r="B6" s="10"/>
      <c r="C6" s="10"/>
      <c r="D6" s="10"/>
      <c r="E6" s="10"/>
      <c r="F6" s="10"/>
      <c r="G6" s="10"/>
      <c r="H6" s="10"/>
      <c r="I6" s="10"/>
      <c r="J6" s="10"/>
      <c r="K6" s="13"/>
    </row>
    <row r="7" spans="1:11" x14ac:dyDescent="0.25">
      <c r="A7" s="9"/>
      <c r="B7" s="10"/>
      <c r="C7" s="10"/>
      <c r="D7" s="10"/>
      <c r="E7" s="10"/>
      <c r="F7" s="10"/>
      <c r="G7" s="10"/>
      <c r="H7" s="10"/>
      <c r="I7" s="10"/>
      <c r="J7" s="10"/>
      <c r="K7" s="13"/>
    </row>
    <row r="8" spans="1:11" x14ac:dyDescent="0.25">
      <c r="A8" s="9"/>
      <c r="B8" s="10"/>
      <c r="C8" s="10"/>
      <c r="D8" s="10"/>
      <c r="E8" s="10"/>
      <c r="F8" s="10"/>
      <c r="G8" s="10"/>
      <c r="H8" s="10"/>
      <c r="I8" s="10"/>
      <c r="J8" s="10"/>
      <c r="K8" s="13"/>
    </row>
    <row r="9" spans="1:11" x14ac:dyDescent="0.25">
      <c r="A9" s="9"/>
      <c r="B9" s="10"/>
      <c r="C9" s="10"/>
      <c r="D9" s="10"/>
      <c r="E9" s="10"/>
      <c r="F9" s="10"/>
      <c r="G9" s="10"/>
      <c r="H9" s="10"/>
      <c r="I9" s="10"/>
      <c r="J9" s="10"/>
      <c r="K9" s="13"/>
    </row>
    <row r="10" spans="1:11" x14ac:dyDescent="0.2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3"/>
    </row>
    <row r="11" spans="1:11" x14ac:dyDescent="0.25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3"/>
    </row>
    <row r="12" spans="1:11" x14ac:dyDescent="0.2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3"/>
    </row>
    <row r="13" spans="1:11" x14ac:dyDescent="0.2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3"/>
    </row>
    <row r="14" spans="1:11" x14ac:dyDescent="0.25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3"/>
    </row>
    <row r="15" spans="1:11" x14ac:dyDescent="0.25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3"/>
    </row>
    <row r="16" spans="1:11" x14ac:dyDescent="0.2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3"/>
    </row>
    <row r="17" spans="1:11" x14ac:dyDescent="0.25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3"/>
    </row>
    <row r="18" spans="1:11" x14ac:dyDescent="0.25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3"/>
    </row>
    <row r="19" spans="1:11" x14ac:dyDescent="0.2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3"/>
    </row>
    <row r="20" spans="1:11" x14ac:dyDescent="0.2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3"/>
    </row>
    <row r="21" spans="1:11" x14ac:dyDescent="0.25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3"/>
    </row>
    <row r="22" spans="1:11" x14ac:dyDescent="0.25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3"/>
    </row>
    <row r="23" spans="1:11" x14ac:dyDescent="0.25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3"/>
    </row>
    <row r="24" spans="1:11" x14ac:dyDescent="0.25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3"/>
    </row>
    <row r="25" spans="1:11" x14ac:dyDescent="0.25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3"/>
    </row>
    <row r="26" spans="1:11" x14ac:dyDescent="0.25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3"/>
    </row>
    <row r="27" spans="1:11" x14ac:dyDescent="0.25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3"/>
    </row>
    <row r="28" spans="1:11" x14ac:dyDescent="0.25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3"/>
    </row>
    <row r="29" spans="1:11" x14ac:dyDescent="0.25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3"/>
    </row>
    <row r="30" spans="1:11" x14ac:dyDescent="0.25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3"/>
    </row>
    <row r="31" spans="1:11" x14ac:dyDescent="0.25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3"/>
    </row>
    <row r="32" spans="1:11" x14ac:dyDescent="0.25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3"/>
    </row>
    <row r="33" spans="1:11" x14ac:dyDescent="0.25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3"/>
    </row>
    <row r="34" spans="1:11" x14ac:dyDescent="0.25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3"/>
    </row>
    <row r="35" spans="1:11" x14ac:dyDescent="0.25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3"/>
    </row>
    <row r="36" spans="1:11" x14ac:dyDescent="0.25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3"/>
    </row>
    <row r="37" spans="1:11" x14ac:dyDescent="0.25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3"/>
    </row>
    <row r="38" spans="1:11" x14ac:dyDescent="0.25">
      <c r="A38" s="9"/>
      <c r="B38" s="10"/>
      <c r="C38" s="10"/>
      <c r="D38" s="10"/>
      <c r="E38" s="10"/>
      <c r="F38" s="10"/>
      <c r="G38" s="10"/>
      <c r="H38" s="10"/>
      <c r="I38" s="10"/>
      <c r="J38" s="10"/>
      <c r="K38" s="13"/>
    </row>
    <row r="39" spans="1:11" x14ac:dyDescent="0.25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3"/>
    </row>
    <row r="40" spans="1:11" x14ac:dyDescent="0.25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3"/>
    </row>
    <row r="41" spans="1:11" x14ac:dyDescent="0.25">
      <c r="A41" s="9"/>
      <c r="B41" s="10"/>
      <c r="C41" s="10"/>
      <c r="D41" s="10"/>
      <c r="E41" s="10"/>
      <c r="F41" s="10"/>
      <c r="G41" s="10"/>
      <c r="H41" s="10"/>
      <c r="I41" s="10"/>
      <c r="J41" s="10"/>
      <c r="K41" s="13"/>
    </row>
    <row r="42" spans="1:11" x14ac:dyDescent="0.25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13"/>
    </row>
    <row r="43" spans="1:11" x14ac:dyDescent="0.25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3"/>
    </row>
    <row r="44" spans="1:11" x14ac:dyDescent="0.25">
      <c r="A44" s="9"/>
      <c r="B44" s="10"/>
      <c r="C44" s="10"/>
      <c r="D44" s="10"/>
      <c r="E44" s="10"/>
      <c r="F44" s="10"/>
      <c r="G44" s="10"/>
      <c r="H44" s="10"/>
      <c r="I44" s="10"/>
      <c r="J44" s="10"/>
      <c r="K44" s="13"/>
    </row>
    <row r="45" spans="1:11" x14ac:dyDescent="0.25">
      <c r="A45" s="9"/>
      <c r="B45" s="10"/>
      <c r="C45" s="10"/>
      <c r="D45" s="10"/>
      <c r="E45" s="10"/>
      <c r="F45" s="10"/>
      <c r="G45" s="10"/>
      <c r="H45" s="10"/>
      <c r="I45" s="10"/>
      <c r="J45" s="10"/>
      <c r="K45" s="13"/>
    </row>
    <row r="46" spans="1:11" x14ac:dyDescent="0.25">
      <c r="A46" s="9"/>
      <c r="B46" s="10"/>
      <c r="C46" s="10"/>
      <c r="D46" s="10"/>
      <c r="E46" s="10"/>
      <c r="F46" s="10"/>
      <c r="G46" s="10"/>
      <c r="H46" s="10"/>
      <c r="I46" s="10"/>
      <c r="J46" s="10"/>
      <c r="K46" s="13"/>
    </row>
    <row r="47" spans="1:11" x14ac:dyDescent="0.25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3"/>
    </row>
    <row r="48" spans="1:11" x14ac:dyDescent="0.25">
      <c r="A48" s="9"/>
      <c r="B48" s="10"/>
      <c r="C48" s="10"/>
      <c r="D48" s="10"/>
      <c r="E48" s="10"/>
      <c r="F48" s="10"/>
      <c r="G48" s="10"/>
      <c r="H48" s="10"/>
      <c r="I48" s="10"/>
      <c r="J48" s="10"/>
      <c r="K48" s="13"/>
    </row>
    <row r="49" spans="1:11" x14ac:dyDescent="0.25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3"/>
    </row>
    <row r="50" spans="1:11" x14ac:dyDescent="0.25">
      <c r="A50" s="9"/>
      <c r="B50" s="10"/>
      <c r="C50" s="10"/>
      <c r="D50" s="10"/>
      <c r="E50" s="10"/>
      <c r="F50" s="10"/>
      <c r="G50" s="10"/>
      <c r="H50" s="10"/>
      <c r="I50" s="10"/>
      <c r="J50" s="10"/>
      <c r="K50" s="13"/>
    </row>
    <row r="51" spans="1:11" ht="15.75" thickBot="1" x14ac:dyDescent="0.3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4"/>
    </row>
    <row r="52" spans="1:11" ht="15.75" thickTop="1" x14ac:dyDescent="0.25"/>
    <row r="53" spans="1:11" x14ac:dyDescent="0.25">
      <c r="B53" s="188">
        <v>42767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27"/>
  <sheetViews>
    <sheetView topLeftCell="G1" zoomScaleNormal="100" workbookViewId="0">
      <selection activeCell="D9" sqref="D9"/>
    </sheetView>
  </sheetViews>
  <sheetFormatPr defaultRowHeight="15" x14ac:dyDescent="0.25"/>
  <cols>
    <col min="1" max="1" width="2" customWidth="1"/>
    <col min="2" max="2" width="2.5703125" customWidth="1"/>
    <col min="3" max="3" width="24.28515625" customWidth="1"/>
    <col min="4" max="4" width="13.5703125" customWidth="1"/>
    <col min="5" max="5" width="7.140625" customWidth="1"/>
    <col min="6" max="7" width="2.42578125" customWidth="1"/>
    <col min="8" max="8" width="21.5703125" customWidth="1"/>
    <col min="9" max="9" width="9.5703125" customWidth="1"/>
    <col min="10" max="10" width="8" customWidth="1"/>
    <col min="11" max="11" width="2" customWidth="1"/>
    <col min="12" max="12" width="20.5703125" customWidth="1"/>
    <col min="13" max="13" width="14.42578125" customWidth="1"/>
    <col min="14" max="14" width="6.85546875" customWidth="1"/>
    <col min="15" max="15" width="2.140625" customWidth="1"/>
    <col min="16" max="16" width="23" customWidth="1"/>
    <col min="17" max="17" width="12.85546875" customWidth="1"/>
    <col min="18" max="18" width="8.28515625" customWidth="1"/>
    <col min="19" max="19" width="3.140625" customWidth="1"/>
    <col min="20" max="20" width="2" customWidth="1"/>
  </cols>
  <sheetData>
    <row r="1" spans="1:20" ht="9.75" customHeight="1" thickTop="1" thickBot="1" x14ac:dyDescent="0.3">
      <c r="A1" s="15"/>
      <c r="B1" s="16"/>
      <c r="C1" s="16"/>
      <c r="D1" s="16"/>
      <c r="E1" s="16"/>
      <c r="F1" s="16"/>
      <c r="G1" s="5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7"/>
    </row>
    <row r="2" spans="1:20" ht="29.25" thickTop="1" x14ac:dyDescent="0.45">
      <c r="A2" s="9"/>
      <c r="B2" s="4"/>
      <c r="C2" s="5"/>
      <c r="D2" s="54"/>
      <c r="E2" s="54"/>
      <c r="F2" s="55"/>
      <c r="G2" s="170" t="s">
        <v>222</v>
      </c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2"/>
      <c r="T2" s="13"/>
    </row>
    <row r="3" spans="1:20" ht="15.75" thickBot="1" x14ac:dyDescent="0.3">
      <c r="A3" s="9"/>
      <c r="B3" s="6"/>
      <c r="C3" s="7"/>
      <c r="D3" s="7"/>
      <c r="E3" s="7"/>
      <c r="F3" s="1"/>
      <c r="G3" s="173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5"/>
      <c r="T3" s="13"/>
    </row>
    <row r="4" spans="1:20" ht="22.5" thickTop="1" thickBot="1" x14ac:dyDescent="0.3">
      <c r="A4" s="9"/>
      <c r="B4" s="6"/>
      <c r="C4" s="176" t="s">
        <v>243</v>
      </c>
      <c r="D4" s="177"/>
      <c r="E4" s="178"/>
      <c r="F4" s="1"/>
      <c r="G4" s="7"/>
      <c r="H4" s="157" t="s">
        <v>238</v>
      </c>
      <c r="I4" s="158"/>
      <c r="J4" s="159"/>
      <c r="K4" s="32"/>
      <c r="L4" s="157" t="s">
        <v>239</v>
      </c>
      <c r="M4" s="158"/>
      <c r="N4" s="159"/>
      <c r="O4" s="32"/>
      <c r="P4" s="157" t="s">
        <v>241</v>
      </c>
      <c r="Q4" s="158"/>
      <c r="R4" s="159"/>
      <c r="S4" s="1"/>
      <c r="T4" s="13"/>
    </row>
    <row r="5" spans="1:20" ht="16.5" thickTop="1" x14ac:dyDescent="0.25">
      <c r="A5" s="9"/>
      <c r="B5" s="6"/>
      <c r="C5" s="19" t="s">
        <v>74</v>
      </c>
      <c r="D5" s="20">
        <v>30</v>
      </c>
      <c r="E5" s="21" t="s">
        <v>77</v>
      </c>
      <c r="F5" s="1"/>
      <c r="G5" s="7"/>
      <c r="H5" s="19" t="s">
        <v>90</v>
      </c>
      <c r="I5" s="33">
        <f>(D6/D10)*D5</f>
        <v>12000</v>
      </c>
      <c r="J5" s="34" t="s">
        <v>94</v>
      </c>
      <c r="K5" s="32"/>
      <c r="L5" s="179" t="s">
        <v>87</v>
      </c>
      <c r="M5" s="52">
        <f>'Supplies price list'!K3</f>
        <v>19</v>
      </c>
      <c r="N5" s="34" t="s">
        <v>37</v>
      </c>
      <c r="O5" s="32"/>
      <c r="P5" s="19" t="s">
        <v>149</v>
      </c>
      <c r="Q5" s="35">
        <f>I6*D23</f>
        <v>8400</v>
      </c>
      <c r="R5" s="34" t="s">
        <v>138</v>
      </c>
      <c r="S5" s="1"/>
      <c r="T5" s="13"/>
    </row>
    <row r="6" spans="1:20" ht="15.75" x14ac:dyDescent="0.25">
      <c r="A6" s="9"/>
      <c r="B6" s="6"/>
      <c r="C6" s="19" t="s">
        <v>70</v>
      </c>
      <c r="D6" s="20">
        <v>800</v>
      </c>
      <c r="E6" s="21" t="s">
        <v>75</v>
      </c>
      <c r="F6" s="1"/>
      <c r="G6" s="7"/>
      <c r="H6" s="25" t="s">
        <v>152</v>
      </c>
      <c r="I6" s="33">
        <f>I5/D5</f>
        <v>400</v>
      </c>
      <c r="J6" s="34" t="s">
        <v>94</v>
      </c>
      <c r="K6" s="32"/>
      <c r="L6" s="169"/>
      <c r="M6" s="36">
        <f>'Supplies price list'!K3*I8</f>
        <v>1140</v>
      </c>
      <c r="N6" s="37" t="s">
        <v>109</v>
      </c>
      <c r="O6" s="32"/>
      <c r="P6" s="25" t="s">
        <v>150</v>
      </c>
      <c r="Q6" s="38">
        <f>I7*D23</f>
        <v>45801</v>
      </c>
      <c r="R6" s="37" t="s">
        <v>138</v>
      </c>
      <c r="S6" s="1"/>
      <c r="T6" s="13"/>
    </row>
    <row r="7" spans="1:20" ht="15.75" x14ac:dyDescent="0.25">
      <c r="A7" s="9"/>
      <c r="B7" s="6"/>
      <c r="C7" s="22" t="s">
        <v>146</v>
      </c>
      <c r="D7" s="23">
        <v>10</v>
      </c>
      <c r="E7" s="24" t="s">
        <v>75</v>
      </c>
      <c r="F7" s="1"/>
      <c r="G7" s="7"/>
      <c r="H7" s="25" t="s">
        <v>153</v>
      </c>
      <c r="I7" s="33">
        <f>TRUNC(I5/I16,0)</f>
        <v>2181</v>
      </c>
      <c r="J7" s="34" t="s">
        <v>94</v>
      </c>
      <c r="K7" s="32"/>
      <c r="L7" s="168" t="s">
        <v>88</v>
      </c>
      <c r="M7" s="39">
        <f>'Supplies price list'!K6</f>
        <v>15.5</v>
      </c>
      <c r="N7" s="40" t="s">
        <v>37</v>
      </c>
      <c r="O7" s="32"/>
      <c r="P7" s="25" t="s">
        <v>155</v>
      </c>
      <c r="Q7" s="38">
        <f>I5*D23</f>
        <v>252000</v>
      </c>
      <c r="R7" s="37" t="s">
        <v>138</v>
      </c>
      <c r="S7" s="1"/>
      <c r="T7" s="13"/>
    </row>
    <row r="8" spans="1:20" ht="15.75" x14ac:dyDescent="0.25">
      <c r="A8" s="9"/>
      <c r="B8" s="6"/>
      <c r="C8" s="25" t="s">
        <v>73</v>
      </c>
      <c r="D8" s="26">
        <v>3</v>
      </c>
      <c r="E8" s="27" t="s">
        <v>76</v>
      </c>
      <c r="F8" s="1"/>
      <c r="G8" s="7"/>
      <c r="H8" s="25" t="s">
        <v>87</v>
      </c>
      <c r="I8" s="41">
        <f>2*D5</f>
        <v>60</v>
      </c>
      <c r="J8" s="37" t="s">
        <v>93</v>
      </c>
      <c r="K8" s="32"/>
      <c r="L8" s="169"/>
      <c r="M8" s="36">
        <f>'Supplies price list'!K6*I9</f>
        <v>12400</v>
      </c>
      <c r="N8" s="40" t="s">
        <v>109</v>
      </c>
      <c r="O8" s="32"/>
      <c r="P8" s="25" t="s">
        <v>140</v>
      </c>
      <c r="Q8" s="38">
        <f>D23/'Strength analysis calculations'!C4</f>
        <v>0.5</v>
      </c>
      <c r="R8" s="37" t="s">
        <v>147</v>
      </c>
      <c r="S8" s="1"/>
      <c r="T8" s="13"/>
    </row>
    <row r="9" spans="1:20" ht="15.75" x14ac:dyDescent="0.25">
      <c r="A9" s="9"/>
      <c r="B9" s="6"/>
      <c r="C9" s="25" t="s">
        <v>161</v>
      </c>
      <c r="D9" s="26">
        <v>6</v>
      </c>
      <c r="E9" s="27" t="s">
        <v>164</v>
      </c>
      <c r="F9" s="1"/>
      <c r="G9" s="7"/>
      <c r="H9" s="25" t="s">
        <v>88</v>
      </c>
      <c r="I9" s="41">
        <f>(D6/D12)*D5</f>
        <v>800</v>
      </c>
      <c r="J9" s="37" t="s">
        <v>93</v>
      </c>
      <c r="K9" s="32"/>
      <c r="L9" s="168" t="s">
        <v>162</v>
      </c>
      <c r="M9" s="39">
        <f>'Supplies price list'!K13</f>
        <v>0.11</v>
      </c>
      <c r="N9" s="40" t="s">
        <v>37</v>
      </c>
      <c r="O9" s="32"/>
      <c r="P9" s="25" t="s">
        <v>141</v>
      </c>
      <c r="Q9" s="38">
        <f>Q5/'Strength analysis calculations'!C4</f>
        <v>200</v>
      </c>
      <c r="R9" s="37" t="s">
        <v>147</v>
      </c>
      <c r="S9" s="1"/>
      <c r="T9" s="13"/>
    </row>
    <row r="10" spans="1:20" ht="15.75" x14ac:dyDescent="0.25">
      <c r="A10" s="9"/>
      <c r="B10" s="6"/>
      <c r="C10" s="25" t="s">
        <v>71</v>
      </c>
      <c r="D10" s="26">
        <v>2</v>
      </c>
      <c r="E10" s="27" t="s">
        <v>75</v>
      </c>
      <c r="F10" s="1"/>
      <c r="G10" s="7"/>
      <c r="H10" s="25" t="str">
        <f>D11</f>
        <v>No stabilizer</v>
      </c>
      <c r="I10" s="41">
        <f>VLOOKUP(L11,'Supplies price list'!B3:C7,2,FALSE)</f>
        <v>0</v>
      </c>
      <c r="J10" s="37" t="s">
        <v>92</v>
      </c>
      <c r="K10" s="32"/>
      <c r="L10" s="169"/>
      <c r="M10" s="36">
        <f>M9*I14</f>
        <v>7920</v>
      </c>
      <c r="N10" s="40" t="s">
        <v>109</v>
      </c>
      <c r="O10" s="32"/>
      <c r="P10" s="25" t="s">
        <v>142</v>
      </c>
      <c r="Q10" s="38">
        <f>(I7*D23)/'Strength analysis calculations'!C4</f>
        <v>1090.5</v>
      </c>
      <c r="R10" s="37" t="s">
        <v>147</v>
      </c>
      <c r="S10" s="1"/>
      <c r="T10" s="13"/>
    </row>
    <row r="11" spans="1:20" ht="15.75" x14ac:dyDescent="0.25">
      <c r="A11" s="9"/>
      <c r="B11" s="6"/>
      <c r="C11" s="25" t="s">
        <v>169</v>
      </c>
      <c r="D11" s="28" t="s">
        <v>232</v>
      </c>
      <c r="E11" s="27"/>
      <c r="F11" s="1"/>
      <c r="G11" s="7"/>
      <c r="H11" s="25" t="s">
        <v>91</v>
      </c>
      <c r="I11" s="41">
        <f>D6*D8*D5</f>
        <v>72000</v>
      </c>
      <c r="J11" s="37" t="s">
        <v>75</v>
      </c>
      <c r="K11" s="32"/>
      <c r="L11" s="168" t="str">
        <f>D11</f>
        <v>No stabilizer</v>
      </c>
      <c r="M11" s="39">
        <f>VLOOKUP(D11,'Supplies price list'!B10:C14,2,FALSE)</f>
        <v>0</v>
      </c>
      <c r="N11" s="40" t="s">
        <v>37</v>
      </c>
      <c r="O11" s="32"/>
      <c r="P11" s="25" t="s">
        <v>156</v>
      </c>
      <c r="Q11" s="38">
        <f>Q10*I16</f>
        <v>5997.75</v>
      </c>
      <c r="R11" s="37" t="s">
        <v>147</v>
      </c>
      <c r="S11" s="1"/>
      <c r="T11" s="13"/>
    </row>
    <row r="12" spans="1:20" ht="15.75" x14ac:dyDescent="0.25">
      <c r="A12" s="9"/>
      <c r="B12" s="6"/>
      <c r="C12" s="25" t="s">
        <v>72</v>
      </c>
      <c r="D12" s="26">
        <v>30</v>
      </c>
      <c r="E12" s="27" t="s">
        <v>75</v>
      </c>
      <c r="F12" s="1"/>
      <c r="G12" s="7"/>
      <c r="H12" s="25" t="s">
        <v>95</v>
      </c>
      <c r="I12" s="41">
        <f>I8</f>
        <v>60</v>
      </c>
      <c r="J12" s="37" t="s">
        <v>109</v>
      </c>
      <c r="K12" s="32"/>
      <c r="L12" s="169"/>
      <c r="M12" s="36">
        <f>M11*I10</f>
        <v>0</v>
      </c>
      <c r="N12" s="40" t="s">
        <v>109</v>
      </c>
      <c r="O12" s="32"/>
      <c r="P12" s="25" t="s">
        <v>143</v>
      </c>
      <c r="Q12" s="38">
        <f>D23/'Strength analysis calculations'!C5</f>
        <v>2.937062937062937E-2</v>
      </c>
      <c r="R12" s="37" t="s">
        <v>148</v>
      </c>
      <c r="S12" s="1"/>
      <c r="T12" s="13"/>
    </row>
    <row r="13" spans="1:20" ht="15.75" x14ac:dyDescent="0.25">
      <c r="A13" s="9"/>
      <c r="B13" s="6"/>
      <c r="C13" s="25" t="s">
        <v>178</v>
      </c>
      <c r="D13" s="26">
        <v>6</v>
      </c>
      <c r="E13" s="27" t="s">
        <v>179</v>
      </c>
      <c r="F13" s="1"/>
      <c r="G13" s="7"/>
      <c r="H13" s="25" t="s">
        <v>96</v>
      </c>
      <c r="I13" s="41">
        <f>D8*D5</f>
        <v>90</v>
      </c>
      <c r="J13" s="37" t="s">
        <v>109</v>
      </c>
      <c r="K13" s="32"/>
      <c r="L13" s="168" t="s">
        <v>95</v>
      </c>
      <c r="M13" s="39">
        <f>'Supplies price list'!K15</f>
        <v>13.99</v>
      </c>
      <c r="N13" s="40" t="s">
        <v>37</v>
      </c>
      <c r="O13" s="32"/>
      <c r="P13" s="25" t="s">
        <v>144</v>
      </c>
      <c r="Q13" s="38">
        <f>Q5/'Strength analysis calculations'!C5</f>
        <v>11.748251748251748</v>
      </c>
      <c r="R13" s="37" t="s">
        <v>148</v>
      </c>
      <c r="S13" s="1"/>
      <c r="T13" s="13"/>
    </row>
    <row r="14" spans="1:20" ht="15.75" x14ac:dyDescent="0.25">
      <c r="A14" s="9"/>
      <c r="B14" s="6"/>
      <c r="C14" s="25" t="s">
        <v>180</v>
      </c>
      <c r="D14" s="26">
        <v>14</v>
      </c>
      <c r="E14" s="27" t="s">
        <v>75</v>
      </c>
      <c r="F14" s="1"/>
      <c r="G14" s="7"/>
      <c r="H14" s="25" t="s">
        <v>162</v>
      </c>
      <c r="I14" s="41">
        <f>I5*D9</f>
        <v>72000</v>
      </c>
      <c r="J14" s="37" t="s">
        <v>109</v>
      </c>
      <c r="K14" s="32"/>
      <c r="L14" s="169"/>
      <c r="M14" s="36">
        <f>M13*I12</f>
        <v>839.4</v>
      </c>
      <c r="N14" s="40" t="s">
        <v>109</v>
      </c>
      <c r="O14" s="32"/>
      <c r="P14" s="25" t="s">
        <v>145</v>
      </c>
      <c r="Q14" s="38">
        <f>Q6/'Strength analysis calculations'!C5</f>
        <v>64.057342657342659</v>
      </c>
      <c r="R14" s="37" t="s">
        <v>148</v>
      </c>
      <c r="S14" s="1"/>
      <c r="T14" s="13"/>
    </row>
    <row r="15" spans="1:20" ht="16.5" thickBot="1" x14ac:dyDescent="0.3">
      <c r="A15" s="9"/>
      <c r="B15" s="6"/>
      <c r="C15" s="25" t="s">
        <v>181</v>
      </c>
      <c r="D15" s="26">
        <v>3</v>
      </c>
      <c r="E15" s="27" t="s">
        <v>75</v>
      </c>
      <c r="F15" s="1"/>
      <c r="G15" s="7"/>
      <c r="H15" s="22" t="s">
        <v>97</v>
      </c>
      <c r="I15" s="42">
        <f>I9*D8</f>
        <v>2400</v>
      </c>
      <c r="J15" s="43" t="s">
        <v>109</v>
      </c>
      <c r="K15" s="32"/>
      <c r="L15" s="168" t="s">
        <v>91</v>
      </c>
      <c r="M15" s="39">
        <f>'Supplies price list'!K12</f>
        <v>3.44E-2</v>
      </c>
      <c r="N15" s="40" t="s">
        <v>233</v>
      </c>
      <c r="O15" s="32"/>
      <c r="P15" s="149" t="s">
        <v>157</v>
      </c>
      <c r="Q15" s="151">
        <f>Q7/'Strength analysis calculations'!C5</f>
        <v>352.44755244755243</v>
      </c>
      <c r="R15" s="152" t="s">
        <v>148</v>
      </c>
      <c r="S15" s="1"/>
      <c r="T15" s="13"/>
    </row>
    <row r="16" spans="1:20" ht="17.25" thickTop="1" thickBot="1" x14ac:dyDescent="0.3">
      <c r="A16" s="9"/>
      <c r="B16" s="6"/>
      <c r="C16" s="25" t="s">
        <v>189</v>
      </c>
      <c r="D16" s="28" t="s">
        <v>190</v>
      </c>
      <c r="E16" s="27"/>
      <c r="F16" s="1"/>
      <c r="G16" s="7"/>
      <c r="H16" s="44" t="s">
        <v>107</v>
      </c>
      <c r="I16" s="45">
        <f>TRUNC((D6*(D7*D5))/43560,2)</f>
        <v>5.5</v>
      </c>
      <c r="J16" s="46" t="s">
        <v>108</v>
      </c>
      <c r="K16" s="32"/>
      <c r="L16" s="169"/>
      <c r="M16" s="36">
        <f>M15*I11</f>
        <v>2476.8000000000002</v>
      </c>
      <c r="N16" s="40" t="s">
        <v>109</v>
      </c>
      <c r="O16" s="32"/>
      <c r="P16" s="32"/>
      <c r="Q16" s="47"/>
      <c r="R16" s="48"/>
      <c r="S16" s="1"/>
      <c r="T16" s="13"/>
    </row>
    <row r="17" spans="1:20" ht="17.25" thickTop="1" thickBot="1" x14ac:dyDescent="0.3">
      <c r="A17" s="9"/>
      <c r="B17" s="6"/>
      <c r="C17" s="25" t="s">
        <v>182</v>
      </c>
      <c r="D17" s="28" t="s">
        <v>237</v>
      </c>
      <c r="E17" s="27"/>
      <c r="F17" s="1"/>
      <c r="G17" s="7"/>
      <c r="H17" s="32"/>
      <c r="I17" s="32"/>
      <c r="J17" s="32"/>
      <c r="K17" s="32"/>
      <c r="L17" s="168" t="s">
        <v>101</v>
      </c>
      <c r="M17" s="39">
        <f>'Supplies price list'!K16</f>
        <v>4.95</v>
      </c>
      <c r="N17" s="40" t="s">
        <v>37</v>
      </c>
      <c r="O17" s="32"/>
      <c r="P17" s="32"/>
      <c r="Q17" s="155"/>
      <c r="R17" s="32"/>
      <c r="S17" s="1"/>
      <c r="T17" s="13"/>
    </row>
    <row r="18" spans="1:20" ht="20.25" customHeight="1" thickTop="1" thickBot="1" x14ac:dyDescent="0.3">
      <c r="A18" s="9"/>
      <c r="B18" s="6"/>
      <c r="C18" s="25" t="s">
        <v>183</v>
      </c>
      <c r="D18" s="26">
        <v>120</v>
      </c>
      <c r="E18" s="27" t="s">
        <v>185</v>
      </c>
      <c r="F18" s="1"/>
      <c r="G18" s="7"/>
      <c r="H18" s="157" t="s">
        <v>240</v>
      </c>
      <c r="I18" s="158"/>
      <c r="J18" s="159"/>
      <c r="K18" s="32"/>
      <c r="L18" s="169"/>
      <c r="M18" s="36">
        <f>M17*I13</f>
        <v>445.5</v>
      </c>
      <c r="N18" s="40" t="s">
        <v>109</v>
      </c>
      <c r="O18" s="32"/>
      <c r="P18" s="157" t="s">
        <v>242</v>
      </c>
      <c r="Q18" s="158"/>
      <c r="R18" s="159"/>
      <c r="S18" s="1"/>
      <c r="T18" s="13"/>
    </row>
    <row r="19" spans="1:20" ht="19.5" thickTop="1" x14ac:dyDescent="0.3">
      <c r="A19" s="9"/>
      <c r="B19" s="6"/>
      <c r="C19" s="25" t="s">
        <v>184</v>
      </c>
      <c r="D19" s="26">
        <v>10</v>
      </c>
      <c r="E19" s="27" t="s">
        <v>75</v>
      </c>
      <c r="F19" s="1"/>
      <c r="G19" s="7"/>
      <c r="H19" s="156" t="s">
        <v>220</v>
      </c>
      <c r="I19" s="162" t="str">
        <f>'Strength analysis calculations'!C25</f>
        <v>Pass</v>
      </c>
      <c r="J19" s="163"/>
      <c r="K19" s="32"/>
      <c r="L19" s="168" t="s">
        <v>97</v>
      </c>
      <c r="M19" s="49">
        <f>'Supplies price list'!K18</f>
        <v>7.1718749999999994E-3</v>
      </c>
      <c r="N19" s="50" t="s">
        <v>37</v>
      </c>
      <c r="O19" s="32"/>
      <c r="P19" s="19" t="s">
        <v>81</v>
      </c>
      <c r="Q19" s="51">
        <f>D23*D24</f>
        <v>21</v>
      </c>
      <c r="R19" s="34" t="s">
        <v>84</v>
      </c>
      <c r="S19" s="1"/>
      <c r="T19" s="13"/>
    </row>
    <row r="20" spans="1:20" ht="19.5" thickBot="1" x14ac:dyDescent="0.35">
      <c r="A20" s="9"/>
      <c r="B20" s="6"/>
      <c r="C20" s="25" t="s">
        <v>188</v>
      </c>
      <c r="D20" s="26">
        <v>2.5</v>
      </c>
      <c r="E20" s="27" t="s">
        <v>179</v>
      </c>
      <c r="F20" s="1"/>
      <c r="G20" s="7"/>
      <c r="H20" s="44" t="s">
        <v>217</v>
      </c>
      <c r="I20" s="160">
        <f>'Strength analysis calculations'!C26</f>
        <v>1.31</v>
      </c>
      <c r="J20" s="161"/>
      <c r="K20" s="32"/>
      <c r="L20" s="169"/>
      <c r="M20" s="36">
        <f>M19*I15</f>
        <v>17.212499999999999</v>
      </c>
      <c r="N20" s="37" t="s">
        <v>109</v>
      </c>
      <c r="O20" s="32"/>
      <c r="P20" s="25" t="s">
        <v>82</v>
      </c>
      <c r="Q20" s="36">
        <f>Q5*D24</f>
        <v>8400</v>
      </c>
      <c r="R20" s="37" t="s">
        <v>85</v>
      </c>
      <c r="S20" s="1"/>
      <c r="T20" s="13"/>
    </row>
    <row r="21" spans="1:20" ht="19.5" thickTop="1" x14ac:dyDescent="0.3">
      <c r="A21" s="9"/>
      <c r="B21" s="6"/>
      <c r="C21" s="25" t="s">
        <v>186</v>
      </c>
      <c r="D21" s="26">
        <v>20</v>
      </c>
      <c r="E21" s="27" t="s">
        <v>84</v>
      </c>
      <c r="F21" s="1"/>
      <c r="G21" s="7"/>
      <c r="H21" s="156" t="s">
        <v>218</v>
      </c>
      <c r="I21" s="162" t="str">
        <f>'Strength analysis calculations'!C30</f>
        <v>Pass</v>
      </c>
      <c r="J21" s="163"/>
      <c r="K21" s="32"/>
      <c r="L21" s="57" t="s">
        <v>78</v>
      </c>
      <c r="M21" s="36">
        <f>M24/I5</f>
        <v>2.1032427083333336</v>
      </c>
      <c r="N21" s="40" t="s">
        <v>84</v>
      </c>
      <c r="O21" s="32"/>
      <c r="P21" s="25" t="s">
        <v>83</v>
      </c>
      <c r="Q21" s="36">
        <f>Q6*D24</f>
        <v>45801</v>
      </c>
      <c r="R21" s="37" t="s">
        <v>86</v>
      </c>
      <c r="S21" s="1"/>
      <c r="T21" s="13"/>
    </row>
    <row r="22" spans="1:20" ht="19.5" thickBot="1" x14ac:dyDescent="0.35">
      <c r="A22" s="9"/>
      <c r="B22" s="6"/>
      <c r="C22" s="25" t="s">
        <v>187</v>
      </c>
      <c r="D22" s="26">
        <v>0.25</v>
      </c>
      <c r="E22" s="27" t="s">
        <v>179</v>
      </c>
      <c r="F22" s="1"/>
      <c r="G22" s="7"/>
      <c r="H22" s="44" t="s">
        <v>219</v>
      </c>
      <c r="I22" s="160">
        <f>'Strength analysis calculations'!C31</f>
        <v>1.03</v>
      </c>
      <c r="J22" s="161"/>
      <c r="K22" s="32"/>
      <c r="L22" s="57" t="s">
        <v>79</v>
      </c>
      <c r="M22" s="36">
        <f>M24/D5</f>
        <v>841.29708333333338</v>
      </c>
      <c r="N22" s="40" t="s">
        <v>85</v>
      </c>
      <c r="O22" s="32"/>
      <c r="P22" s="148" t="s">
        <v>151</v>
      </c>
      <c r="Q22" s="150">
        <f>Q7*D24</f>
        <v>252000</v>
      </c>
      <c r="R22" s="153" t="s">
        <v>109</v>
      </c>
      <c r="S22" s="1"/>
      <c r="T22" s="13"/>
    </row>
    <row r="23" spans="1:20" ht="19.5" thickTop="1" x14ac:dyDescent="0.3">
      <c r="A23" s="9"/>
      <c r="B23" s="6"/>
      <c r="C23" s="25" t="s">
        <v>81</v>
      </c>
      <c r="D23" s="26">
        <v>21</v>
      </c>
      <c r="E23" s="27" t="s">
        <v>139</v>
      </c>
      <c r="F23" s="1"/>
      <c r="G23" s="7"/>
      <c r="H23" s="53" t="s">
        <v>287</v>
      </c>
      <c r="I23" s="164" t="s">
        <v>289</v>
      </c>
      <c r="J23" s="165"/>
      <c r="K23" s="32"/>
      <c r="L23" s="57" t="s">
        <v>80</v>
      </c>
      <c r="M23" s="36">
        <f>M24/I16</f>
        <v>4588.8931818181818</v>
      </c>
      <c r="N23" s="40" t="s">
        <v>86</v>
      </c>
      <c r="O23" s="32"/>
      <c r="P23" s="32"/>
      <c r="Q23" s="32"/>
      <c r="R23" s="32"/>
      <c r="S23" s="1"/>
      <c r="T23" s="13"/>
    </row>
    <row r="24" spans="1:20" ht="19.5" thickBot="1" x14ac:dyDescent="0.35">
      <c r="A24" s="9"/>
      <c r="B24" s="6"/>
      <c r="C24" s="29" t="s">
        <v>154</v>
      </c>
      <c r="D24" s="30">
        <v>1</v>
      </c>
      <c r="E24" s="31" t="s">
        <v>158</v>
      </c>
      <c r="F24" s="1"/>
      <c r="G24" s="7"/>
      <c r="H24" s="154" t="s">
        <v>288</v>
      </c>
      <c r="I24" s="166" t="s">
        <v>290</v>
      </c>
      <c r="J24" s="167"/>
      <c r="K24" s="32"/>
      <c r="L24" s="147" t="s">
        <v>98</v>
      </c>
      <c r="M24" s="150">
        <f>M6+M8+M10+M12+M14+M16+M18+M20</f>
        <v>25238.912500000002</v>
      </c>
      <c r="N24" s="46" t="s">
        <v>109</v>
      </c>
      <c r="O24" s="32"/>
      <c r="P24" s="32"/>
      <c r="Q24" s="32"/>
      <c r="R24" s="32"/>
      <c r="S24" s="1"/>
      <c r="T24" s="13"/>
    </row>
    <row r="25" spans="1:20" ht="16.5" thickTop="1" thickBot="1" x14ac:dyDescent="0.3">
      <c r="A25" s="9"/>
      <c r="B25" s="2"/>
      <c r="C25" s="3"/>
      <c r="D25" s="3"/>
      <c r="E25" s="3"/>
      <c r="F25" s="8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8"/>
      <c r="T25" s="13"/>
    </row>
    <row r="26" spans="1:20" ht="10.9" customHeight="1" thickTop="1" thickBot="1" x14ac:dyDescent="0.3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4"/>
    </row>
    <row r="27" spans="1:20" ht="15.75" thickTop="1" x14ac:dyDescent="0.25">
      <c r="A27" s="18"/>
    </row>
  </sheetData>
  <mergeCells count="21">
    <mergeCell ref="I24:J24"/>
    <mergeCell ref="L19:L20"/>
    <mergeCell ref="P18:R18"/>
    <mergeCell ref="G2:S3"/>
    <mergeCell ref="C4:E4"/>
    <mergeCell ref="H4:J4"/>
    <mergeCell ref="L4:N4"/>
    <mergeCell ref="P4:R4"/>
    <mergeCell ref="L5:L6"/>
    <mergeCell ref="L9:L10"/>
    <mergeCell ref="L7:L8"/>
    <mergeCell ref="L11:L12"/>
    <mergeCell ref="L13:L14"/>
    <mergeCell ref="L15:L16"/>
    <mergeCell ref="L17:L18"/>
    <mergeCell ref="I19:J19"/>
    <mergeCell ref="H18:J18"/>
    <mergeCell ref="I20:J20"/>
    <mergeCell ref="I21:J21"/>
    <mergeCell ref="I22:J22"/>
    <mergeCell ref="I23:J23"/>
  </mergeCells>
  <conditionalFormatting sqref="I19">
    <cfRule type="containsText" dxfId="3" priority="3" operator="containsText" text="Fail">
      <formula>NOT(ISERROR(SEARCH("Fail",I19)))</formula>
    </cfRule>
  </conditionalFormatting>
  <conditionalFormatting sqref="I21">
    <cfRule type="containsText" dxfId="2" priority="2" operator="containsText" text="Fail">
      <formula>NOT(ISERROR(SEARCH("Fail",I21)))</formula>
    </cfRule>
  </conditionalFormatting>
  <pageMargins left="0.7" right="0.7" top="0.75" bottom="0.75" header="0.3" footer="0.3"/>
  <pageSetup scale="2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" operator="lessThan" id="{00000000-000E-0000-0000-000004000000}">
            <xm:f>'Strength analysis calculations'!$C$27</xm:f>
            <x14:dxf>
              <fill>
                <patternFill>
                  <bgColor rgb="FFFFC7CE"/>
                </patternFill>
              </fill>
            </x14:dxf>
          </x14:cfRule>
          <xm:sqref>I19:I20</xm:sqref>
        </x14:conditionalFormatting>
        <x14:conditionalFormatting xmlns:xm="http://schemas.microsoft.com/office/excel/2006/main">
          <x14:cfRule type="cellIs" priority="8" operator="lessThan" id="{00000000-000E-0000-0000-000001000000}">
            <xm:f>'Strength analysis calculations'!$C$32</xm:f>
            <x14:dxf>
              <fill>
                <patternFill>
                  <bgColor rgb="FFFFC7CE"/>
                </patternFill>
              </fill>
            </x14:dxf>
          </x14:cfRule>
          <xm:sqref>I22:I24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'Supplies price list'!$B$10:$B$14</xm:f>
          </x14:formula1>
          <xm:sqref>D11</xm:sqref>
        </x14:dataValidation>
        <x14:dataValidation type="list" allowBlank="1" showInputMessage="1" showErrorMessage="1">
          <x14:formula1>
            <xm:f>'Strength analysis calculations'!$F$3:$F$4</xm:f>
          </x14:formula1>
          <xm:sqref>D16</xm:sqref>
        </x14:dataValidation>
        <x14:dataValidation type="list" allowBlank="1" showInputMessage="1" showErrorMessage="1">
          <x14:formula1>
            <xm:f>'Strength analysis calculations'!$F$7:$F$9</xm:f>
          </x14:formula1>
          <xm:sqref>D17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47"/>
  <sheetViews>
    <sheetView workbookViewId="0">
      <selection activeCell="Q16" sqref="Q16"/>
    </sheetView>
  </sheetViews>
  <sheetFormatPr defaultRowHeight="15" x14ac:dyDescent="0.25"/>
  <cols>
    <col min="1" max="1" width="2.5703125" customWidth="1"/>
    <col min="2" max="2" width="16" customWidth="1"/>
    <col min="3" max="3" width="12.7109375" customWidth="1"/>
    <col min="13" max="13" width="17.140625" customWidth="1"/>
    <col min="14" max="14" width="9" hidden="1" customWidth="1"/>
  </cols>
  <sheetData>
    <row r="1" spans="1:14" ht="16.5" thickTop="1" thickBot="1" x14ac:dyDescent="0.3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</row>
    <row r="2" spans="1:14" ht="15.75" thickBot="1" x14ac:dyDescent="0.3">
      <c r="A2" s="9"/>
      <c r="B2" s="182" t="s">
        <v>167</v>
      </c>
      <c r="C2" s="183"/>
      <c r="D2" s="10"/>
      <c r="E2" s="10"/>
      <c r="F2" s="10"/>
      <c r="G2" s="10"/>
      <c r="H2" s="10"/>
      <c r="I2" s="10"/>
      <c r="J2" s="10"/>
      <c r="K2" s="10"/>
      <c r="L2" s="10"/>
      <c r="M2" s="10"/>
      <c r="N2" s="13"/>
    </row>
    <row r="3" spans="1:14" x14ac:dyDescent="0.25">
      <c r="A3" s="9"/>
      <c r="B3" s="61" t="s">
        <v>227</v>
      </c>
      <c r="C3" s="62">
        <f>'User input &amp; design output'!I5</f>
        <v>12000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3"/>
    </row>
    <row r="4" spans="1:14" x14ac:dyDescent="0.25">
      <c r="A4" s="9"/>
      <c r="B4" s="60" t="s">
        <v>228</v>
      </c>
      <c r="C4" s="59">
        <f>'Supplies price list'!C10</f>
        <v>3.05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3"/>
    </row>
    <row r="5" spans="1:14" x14ac:dyDescent="0.25">
      <c r="A5" s="9"/>
      <c r="B5" s="60" t="s">
        <v>229</v>
      </c>
      <c r="C5" s="59">
        <f>C4*C3</f>
        <v>36600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3"/>
    </row>
    <row r="6" spans="1:14" x14ac:dyDescent="0.25">
      <c r="A6" s="9"/>
      <c r="B6" s="60" t="s">
        <v>230</v>
      </c>
      <c r="C6" s="59">
        <f>SUM('User input &amp; design output'!M6+'User input &amp; design output'!M8+'User input &amp; design output'!M10+'User input &amp; design output'!M14+'User input &amp; design output'!M16+'User input &amp; design output'!M18+'User input &amp; design output'!M20+C5)</f>
        <v>61838.912500000006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3"/>
    </row>
    <row r="7" spans="1:14" x14ac:dyDescent="0.25">
      <c r="A7" s="9"/>
      <c r="B7" s="60" t="s">
        <v>78</v>
      </c>
      <c r="C7" s="59">
        <f>C6/'User input &amp; design output'!I5</f>
        <v>5.1532427083333339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3"/>
    </row>
    <row r="8" spans="1:14" x14ac:dyDescent="0.25">
      <c r="A8" s="9"/>
      <c r="B8" s="60" t="s">
        <v>79</v>
      </c>
      <c r="C8" s="59">
        <f>C6/'User input &amp; design output'!D5</f>
        <v>2061.2970833333334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3"/>
    </row>
    <row r="9" spans="1:14" ht="15.75" thickBot="1" x14ac:dyDescent="0.3">
      <c r="A9" s="9"/>
      <c r="B9" s="64" t="s">
        <v>80</v>
      </c>
      <c r="C9" s="63">
        <f>C6/'User input &amp; design output'!I16</f>
        <v>11243.438636363637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3"/>
    </row>
    <row r="10" spans="1:14" ht="16.5" thickTop="1" thickBot="1" x14ac:dyDescent="0.3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3"/>
    </row>
    <row r="11" spans="1:14" ht="16.5" thickTop="1" thickBot="1" x14ac:dyDescent="0.3">
      <c r="A11" s="9"/>
      <c r="B11" s="180" t="s">
        <v>165</v>
      </c>
      <c r="C11" s="181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3"/>
    </row>
    <row r="12" spans="1:14" ht="15.75" thickTop="1" x14ac:dyDescent="0.25">
      <c r="A12" s="9"/>
      <c r="B12" s="61" t="s">
        <v>227</v>
      </c>
      <c r="C12" s="62">
        <f>'User input &amp; design output'!I5</f>
        <v>12000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3"/>
    </row>
    <row r="13" spans="1:14" x14ac:dyDescent="0.25">
      <c r="A13" s="9"/>
      <c r="B13" s="60" t="s">
        <v>228</v>
      </c>
      <c r="C13" s="59">
        <f>'Supplies price list'!C11</f>
        <v>1.0900000000000001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3"/>
    </row>
    <row r="14" spans="1:14" x14ac:dyDescent="0.25">
      <c r="A14" s="9"/>
      <c r="B14" s="60" t="s">
        <v>229</v>
      </c>
      <c r="C14" s="59">
        <f>C13*C12</f>
        <v>13080.000000000002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3"/>
    </row>
    <row r="15" spans="1:14" x14ac:dyDescent="0.25">
      <c r="A15" s="9"/>
      <c r="B15" s="60" t="s">
        <v>230</v>
      </c>
      <c r="C15" s="59">
        <f>SUM('User input &amp; design output'!M6+'User input &amp; design output'!M8+'User input &amp; design output'!M16+'User input &amp; design output'!M10+'User input &amp; design output'!M14+'User input &amp; design output'!M18+'User input &amp; design output'!M20+C14)</f>
        <v>38318.912500000006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3"/>
    </row>
    <row r="16" spans="1:14" x14ac:dyDescent="0.25">
      <c r="A16" s="9"/>
      <c r="B16" s="60" t="s">
        <v>78</v>
      </c>
      <c r="C16" s="59">
        <f>C15/'User input &amp; design output'!I5</f>
        <v>3.1932427083333339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3"/>
    </row>
    <row r="17" spans="1:14" x14ac:dyDescent="0.25">
      <c r="A17" s="9"/>
      <c r="B17" s="60" t="s">
        <v>79</v>
      </c>
      <c r="C17" s="59">
        <f>C15/'User input &amp; design output'!D5</f>
        <v>1277.2970833333336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3"/>
    </row>
    <row r="18" spans="1:14" ht="15.75" thickBot="1" x14ac:dyDescent="0.3">
      <c r="A18" s="9"/>
      <c r="B18" s="64" t="s">
        <v>80</v>
      </c>
      <c r="C18" s="63">
        <f>C15/'User input &amp; design output'!I16</f>
        <v>6967.0750000000007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3"/>
    </row>
    <row r="19" spans="1:14" ht="16.5" thickTop="1" thickBot="1" x14ac:dyDescent="0.3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3"/>
    </row>
    <row r="20" spans="1:14" ht="16.5" thickTop="1" thickBot="1" x14ac:dyDescent="0.3">
      <c r="A20" s="9"/>
      <c r="B20" s="180" t="s">
        <v>170</v>
      </c>
      <c r="C20" s="181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3"/>
    </row>
    <row r="21" spans="1:14" ht="15.75" thickTop="1" x14ac:dyDescent="0.25">
      <c r="A21" s="9"/>
      <c r="B21" s="61" t="s">
        <v>227</v>
      </c>
      <c r="C21" s="62">
        <f>'User input &amp; design output'!I5</f>
        <v>12000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3"/>
    </row>
    <row r="22" spans="1:14" x14ac:dyDescent="0.25">
      <c r="A22" s="9"/>
      <c r="B22" s="60" t="s">
        <v>228</v>
      </c>
      <c r="C22" s="59">
        <f>'Supplies price list'!C12</f>
        <v>0.9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3"/>
    </row>
    <row r="23" spans="1:14" x14ac:dyDescent="0.25">
      <c r="A23" s="9"/>
      <c r="B23" s="60" t="s">
        <v>229</v>
      </c>
      <c r="C23" s="59">
        <f>C22*C21</f>
        <v>10800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3"/>
    </row>
    <row r="24" spans="1:14" x14ac:dyDescent="0.25">
      <c r="A24" s="9"/>
      <c r="B24" s="60" t="s">
        <v>230</v>
      </c>
      <c r="C24" s="59">
        <f>SUM('User input &amp; design output'!M6+'User input &amp; design output'!M8+'User input &amp; design output'!M16+'User input &amp; design output'!M10+'User input &amp; design output'!M14+'User input &amp; design output'!M18+'User input &amp; design output'!M20+C23)</f>
        <v>36038.912500000006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3"/>
    </row>
    <row r="25" spans="1:14" x14ac:dyDescent="0.25">
      <c r="A25" s="9"/>
      <c r="B25" s="60" t="s">
        <v>78</v>
      </c>
      <c r="C25" s="59">
        <f>C24/'User input &amp; design output'!I5</f>
        <v>3.003242708333334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3"/>
    </row>
    <row r="26" spans="1:14" x14ac:dyDescent="0.25">
      <c r="A26" s="9"/>
      <c r="B26" s="60" t="s">
        <v>79</v>
      </c>
      <c r="C26" s="59">
        <f>C24/'User input &amp; design output'!D5</f>
        <v>1201.2970833333336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3"/>
    </row>
    <row r="27" spans="1:14" ht="15.75" thickBot="1" x14ac:dyDescent="0.3">
      <c r="A27" s="9"/>
      <c r="B27" s="64" t="s">
        <v>80</v>
      </c>
      <c r="C27" s="63">
        <f>C24/'User input &amp; design output'!I16</f>
        <v>6552.5295454545467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3"/>
    </row>
    <row r="28" spans="1:14" ht="16.5" thickTop="1" thickBot="1" x14ac:dyDescent="0.3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3"/>
    </row>
    <row r="29" spans="1:14" ht="16.5" thickTop="1" thickBot="1" x14ac:dyDescent="0.3">
      <c r="A29" s="9"/>
      <c r="B29" s="180" t="s">
        <v>231</v>
      </c>
      <c r="C29" s="181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3"/>
    </row>
    <row r="30" spans="1:14" ht="15.75" thickTop="1" x14ac:dyDescent="0.25">
      <c r="A30" s="9"/>
      <c r="B30" s="61" t="s">
        <v>227</v>
      </c>
      <c r="C30" s="62">
        <f>'User input &amp; design output'!I5</f>
        <v>12000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3"/>
    </row>
    <row r="31" spans="1:14" x14ac:dyDescent="0.25">
      <c r="A31" s="9"/>
      <c r="B31" s="60" t="s">
        <v>228</v>
      </c>
      <c r="C31" s="59">
        <f>'Supplies price list'!C13</f>
        <v>5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3"/>
    </row>
    <row r="32" spans="1:14" x14ac:dyDescent="0.25">
      <c r="A32" s="9"/>
      <c r="B32" s="60" t="s">
        <v>229</v>
      </c>
      <c r="C32" s="59">
        <f>C31*C30</f>
        <v>60000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3"/>
    </row>
    <row r="33" spans="1:14" x14ac:dyDescent="0.25">
      <c r="A33" s="9"/>
      <c r="B33" s="60" t="s">
        <v>230</v>
      </c>
      <c r="C33" s="59">
        <f>SUM('User input &amp; design output'!M6+'User input &amp; design output'!M8+'User input &amp; design output'!M16+'User input &amp; design output'!M10+'User input &amp; design output'!M14+'User input &amp; design output'!M18+'User input &amp; design output'!M20+C32)</f>
        <v>85238.912500000006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3"/>
    </row>
    <row r="34" spans="1:14" x14ac:dyDescent="0.25">
      <c r="A34" s="9"/>
      <c r="B34" s="60" t="s">
        <v>78</v>
      </c>
      <c r="C34" s="59">
        <f>C33/'User input &amp; design output'!I5</f>
        <v>7.103242708333334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3"/>
    </row>
    <row r="35" spans="1:14" x14ac:dyDescent="0.25">
      <c r="A35" s="9"/>
      <c r="B35" s="60" t="s">
        <v>79</v>
      </c>
      <c r="C35" s="59">
        <f>C33/'User input &amp; design output'!D5</f>
        <v>2841.2970833333334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3"/>
    </row>
    <row r="36" spans="1:14" ht="15.75" thickBot="1" x14ac:dyDescent="0.3">
      <c r="A36" s="9"/>
      <c r="B36" s="64" t="s">
        <v>80</v>
      </c>
      <c r="C36" s="63">
        <f>C33/'User input &amp; design output'!I16</f>
        <v>15497.984090909093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3"/>
    </row>
    <row r="37" spans="1:14" ht="16.5" thickTop="1" thickBot="1" x14ac:dyDescent="0.3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3"/>
    </row>
    <row r="38" spans="1:14" ht="16.5" thickTop="1" thickBot="1" x14ac:dyDescent="0.3">
      <c r="A38" s="9"/>
      <c r="B38" s="180" t="s">
        <v>232</v>
      </c>
      <c r="C38" s="18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3"/>
    </row>
    <row r="39" spans="1:14" ht="15.75" thickTop="1" x14ac:dyDescent="0.25">
      <c r="A39" s="9"/>
      <c r="B39" s="61" t="s">
        <v>227</v>
      </c>
      <c r="C39" s="62">
        <v>0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3"/>
    </row>
    <row r="40" spans="1:14" x14ac:dyDescent="0.25">
      <c r="A40" s="9"/>
      <c r="B40" s="60" t="s">
        <v>228</v>
      </c>
      <c r="C40" s="59">
        <v>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3"/>
    </row>
    <row r="41" spans="1:14" x14ac:dyDescent="0.25">
      <c r="A41" s="9"/>
      <c r="B41" s="60" t="s">
        <v>229</v>
      </c>
      <c r="C41" s="59">
        <v>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3"/>
    </row>
    <row r="42" spans="1:14" x14ac:dyDescent="0.25">
      <c r="A42" s="9"/>
      <c r="B42" s="60" t="s">
        <v>230</v>
      </c>
      <c r="C42" s="59">
        <f>SUM('User input &amp; design output'!M6+'User input &amp; design output'!M8+'User input &amp; design output'!M16+'User input &amp; design output'!M14+'User input &amp; design output'!M18+'User input &amp; design output'!M20+'User input &amp; design output'!M10)</f>
        <v>25238.912500000002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3"/>
    </row>
    <row r="43" spans="1:14" x14ac:dyDescent="0.25">
      <c r="A43" s="9"/>
      <c r="B43" s="60" t="s">
        <v>78</v>
      </c>
      <c r="C43" s="59">
        <f>C42/'User input &amp; design output'!I5</f>
        <v>2.1032427083333336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3"/>
    </row>
    <row r="44" spans="1:14" x14ac:dyDescent="0.25">
      <c r="A44" s="9"/>
      <c r="B44" s="60" t="s">
        <v>79</v>
      </c>
      <c r="C44" s="59">
        <f>C42/'User input &amp; design output'!D5</f>
        <v>841.29708333333338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3"/>
    </row>
    <row r="45" spans="1:14" ht="15.75" thickBot="1" x14ac:dyDescent="0.3">
      <c r="A45" s="9"/>
      <c r="B45" s="64" t="s">
        <v>80</v>
      </c>
      <c r="C45" s="63">
        <f>C42/'User input &amp; design output'!I16</f>
        <v>4588.8931818181818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3"/>
    </row>
    <row r="46" spans="1:14" ht="16.5" thickTop="1" thickBot="1" x14ac:dyDescent="0.3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4"/>
    </row>
    <row r="47" spans="1:14" ht="15.75" thickTop="1" x14ac:dyDescent="0.25"/>
  </sheetData>
  <mergeCells count="5">
    <mergeCell ref="B29:C29"/>
    <mergeCell ref="B38:C38"/>
    <mergeCell ref="B2:C2"/>
    <mergeCell ref="B11:C11"/>
    <mergeCell ref="B20:C20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V41"/>
  <sheetViews>
    <sheetView workbookViewId="0">
      <selection activeCell="C7" sqref="C7"/>
    </sheetView>
  </sheetViews>
  <sheetFormatPr defaultRowHeight="15" x14ac:dyDescent="0.25"/>
  <cols>
    <col min="1" max="1" width="2.7109375" customWidth="1"/>
    <col min="2" max="2" width="18.140625" customWidth="1"/>
    <col min="3" max="3" width="13.85546875" customWidth="1"/>
    <col min="4" max="4" width="3.140625" customWidth="1"/>
    <col min="5" max="5" width="18.42578125" customWidth="1"/>
    <col min="6" max="6" width="35.7109375" customWidth="1"/>
    <col min="7" max="7" width="16" customWidth="1"/>
    <col min="8" max="8" width="13.42578125" customWidth="1"/>
    <col min="9" max="9" width="11" customWidth="1"/>
    <col min="10" max="10" width="17.42578125" customWidth="1"/>
    <col min="13" max="13" width="3.28515625" customWidth="1"/>
    <col min="15" max="15" width="30.85546875" customWidth="1"/>
    <col min="17" max="18" width="10.85546875" customWidth="1"/>
    <col min="19" max="19" width="11.85546875" customWidth="1"/>
    <col min="20" max="20" width="11.140625" customWidth="1"/>
    <col min="21" max="21" width="13.140625" customWidth="1"/>
  </cols>
  <sheetData>
    <row r="1" spans="1:22" ht="16.5" thickTop="1" thickBot="1" x14ac:dyDescent="0.3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7"/>
    </row>
    <row r="2" spans="1:22" ht="16.5" thickTop="1" thickBot="1" x14ac:dyDescent="0.3">
      <c r="A2" s="9"/>
      <c r="B2" s="66" t="s">
        <v>168</v>
      </c>
      <c r="C2" s="67" t="s">
        <v>234</v>
      </c>
      <c r="D2" s="10"/>
      <c r="E2" s="65" t="s">
        <v>136</v>
      </c>
      <c r="F2" s="89" t="s">
        <v>137</v>
      </c>
      <c r="G2" s="89" t="s">
        <v>110</v>
      </c>
      <c r="H2" s="89" t="s">
        <v>111</v>
      </c>
      <c r="I2" s="89" t="s">
        <v>113</v>
      </c>
      <c r="J2" s="89" t="s">
        <v>123</v>
      </c>
      <c r="K2" s="90" t="s">
        <v>119</v>
      </c>
      <c r="L2" s="91"/>
      <c r="M2" s="10"/>
      <c r="N2" s="184" t="s">
        <v>286</v>
      </c>
      <c r="O2" s="185"/>
      <c r="P2" s="185"/>
      <c r="Q2" s="185"/>
      <c r="R2" s="185"/>
      <c r="S2" s="185"/>
      <c r="T2" s="185"/>
      <c r="U2" s="186"/>
      <c r="V2" s="13"/>
    </row>
    <row r="3" spans="1:22" ht="15.75" thickTop="1" x14ac:dyDescent="0.25">
      <c r="A3" s="9"/>
      <c r="B3" s="72" t="s">
        <v>167</v>
      </c>
      <c r="C3" s="62">
        <f>'User input &amp; design output'!I5</f>
        <v>12000</v>
      </c>
      <c r="D3" s="10"/>
      <c r="E3" s="86" t="s">
        <v>112</v>
      </c>
      <c r="F3" s="87" t="s">
        <v>7</v>
      </c>
      <c r="G3" s="87" t="s">
        <v>117</v>
      </c>
      <c r="H3" s="105">
        <v>0</v>
      </c>
      <c r="I3" s="101">
        <v>20.05</v>
      </c>
      <c r="J3" s="92">
        <f>'User input &amp; design output'!I8</f>
        <v>60</v>
      </c>
      <c r="K3" s="93">
        <f>VLOOKUP(J3,H3:I5,2,TRUE)</f>
        <v>19</v>
      </c>
      <c r="L3" s="88" t="s">
        <v>37</v>
      </c>
      <c r="M3" s="10"/>
      <c r="N3" s="115" t="s">
        <v>0</v>
      </c>
      <c r="O3" s="112"/>
      <c r="P3" s="113" t="s">
        <v>106</v>
      </c>
      <c r="Q3" s="113" t="s">
        <v>3</v>
      </c>
      <c r="R3" s="113" t="s">
        <v>4</v>
      </c>
      <c r="S3" s="113" t="s">
        <v>5</v>
      </c>
      <c r="T3" s="113" t="s">
        <v>16</v>
      </c>
      <c r="U3" s="114" t="s">
        <v>17</v>
      </c>
      <c r="V3" s="13"/>
    </row>
    <row r="4" spans="1:22" x14ac:dyDescent="0.25">
      <c r="A4" s="9"/>
      <c r="B4" s="73" t="s">
        <v>165</v>
      </c>
      <c r="C4" s="58">
        <f>'User input &amp; design output'!I5</f>
        <v>12000</v>
      </c>
      <c r="D4" s="10"/>
      <c r="E4" s="77"/>
      <c r="F4" s="78"/>
      <c r="G4" s="78" t="s">
        <v>118</v>
      </c>
      <c r="H4" s="106">
        <v>40</v>
      </c>
      <c r="I4" s="102">
        <v>19</v>
      </c>
      <c r="J4" s="94"/>
      <c r="K4" s="95"/>
      <c r="L4" s="83"/>
      <c r="M4" s="10"/>
      <c r="N4" s="60"/>
      <c r="O4" s="109" t="s">
        <v>1</v>
      </c>
      <c r="P4" s="78" t="s">
        <v>2</v>
      </c>
      <c r="Q4" s="97">
        <v>17.5</v>
      </c>
      <c r="R4" s="97">
        <v>16.5</v>
      </c>
      <c r="S4" s="97">
        <v>15.5</v>
      </c>
      <c r="T4" s="109">
        <v>50</v>
      </c>
      <c r="U4" s="83">
        <v>500</v>
      </c>
      <c r="V4" s="13"/>
    </row>
    <row r="5" spans="1:22" x14ac:dyDescent="0.25">
      <c r="A5" s="9"/>
      <c r="B5" s="73" t="s">
        <v>170</v>
      </c>
      <c r="C5" s="58">
        <f>'User input &amp; design output'!I5</f>
        <v>12000</v>
      </c>
      <c r="D5" s="10"/>
      <c r="E5" s="77"/>
      <c r="F5" s="78"/>
      <c r="G5" s="78" t="s">
        <v>116</v>
      </c>
      <c r="H5" s="106">
        <v>500</v>
      </c>
      <c r="I5" s="102">
        <v>18</v>
      </c>
      <c r="J5" s="94"/>
      <c r="K5" s="95"/>
      <c r="L5" s="83"/>
      <c r="M5" s="10"/>
      <c r="N5" s="60"/>
      <c r="O5" s="109" t="s">
        <v>6</v>
      </c>
      <c r="P5" s="78" t="s">
        <v>10</v>
      </c>
      <c r="Q5" s="97">
        <v>18.5</v>
      </c>
      <c r="R5" s="97">
        <v>17.5</v>
      </c>
      <c r="S5" s="97">
        <v>16.5</v>
      </c>
      <c r="T5" s="109">
        <v>50</v>
      </c>
      <c r="U5" s="83">
        <v>500</v>
      </c>
      <c r="V5" s="13"/>
    </row>
    <row r="6" spans="1:22" x14ac:dyDescent="0.25">
      <c r="A6" s="9"/>
      <c r="B6" s="74" t="s">
        <v>166</v>
      </c>
      <c r="C6" s="68">
        <f>'User input &amp; design output'!I5</f>
        <v>12000</v>
      </c>
      <c r="D6" s="10"/>
      <c r="E6" s="77" t="s">
        <v>99</v>
      </c>
      <c r="F6" s="78" t="s">
        <v>1</v>
      </c>
      <c r="G6" s="78" t="s">
        <v>114</v>
      </c>
      <c r="H6" s="106">
        <v>0</v>
      </c>
      <c r="I6" s="102">
        <v>17.5</v>
      </c>
      <c r="J6" s="94">
        <f>'User input &amp; design output'!I9</f>
        <v>800</v>
      </c>
      <c r="K6" s="95">
        <f>VLOOKUP(J6,H6:I8,2,TRUE)</f>
        <v>15.5</v>
      </c>
      <c r="L6" s="83" t="s">
        <v>37</v>
      </c>
      <c r="M6" s="10"/>
      <c r="N6" s="60"/>
      <c r="O6" s="109" t="s">
        <v>124</v>
      </c>
      <c r="P6" s="78" t="s">
        <v>11</v>
      </c>
      <c r="Q6" s="97">
        <v>20.05</v>
      </c>
      <c r="R6" s="97">
        <v>19</v>
      </c>
      <c r="S6" s="97">
        <v>18</v>
      </c>
      <c r="T6" s="109">
        <v>40</v>
      </c>
      <c r="U6" s="83">
        <v>500</v>
      </c>
      <c r="V6" s="13"/>
    </row>
    <row r="7" spans="1:22" ht="15.75" thickBot="1" x14ac:dyDescent="0.3">
      <c r="A7" s="9"/>
      <c r="B7" s="75" t="s">
        <v>232</v>
      </c>
      <c r="C7" s="69">
        <v>0</v>
      </c>
      <c r="D7" s="10"/>
      <c r="E7" s="77"/>
      <c r="F7" s="78"/>
      <c r="G7" s="78" t="s">
        <v>115</v>
      </c>
      <c r="H7" s="106">
        <v>50</v>
      </c>
      <c r="I7" s="102">
        <v>16.5</v>
      </c>
      <c r="J7" s="94"/>
      <c r="K7" s="95"/>
      <c r="L7" s="83"/>
      <c r="M7" s="10"/>
      <c r="N7" s="60"/>
      <c r="O7" s="109" t="s">
        <v>125</v>
      </c>
      <c r="P7" s="78" t="s">
        <v>12</v>
      </c>
      <c r="Q7" s="97">
        <v>21.05</v>
      </c>
      <c r="R7" s="97">
        <v>20</v>
      </c>
      <c r="S7" s="97">
        <v>19</v>
      </c>
      <c r="T7" s="109">
        <v>40</v>
      </c>
      <c r="U7" s="83">
        <v>500</v>
      </c>
      <c r="V7" s="13"/>
    </row>
    <row r="8" spans="1:22" ht="16.5" thickTop="1" thickBot="1" x14ac:dyDescent="0.3">
      <c r="A8" s="9"/>
      <c r="B8" s="10"/>
      <c r="C8" s="10"/>
      <c r="D8" s="10"/>
      <c r="E8" s="77"/>
      <c r="F8" s="78"/>
      <c r="G8" s="78" t="s">
        <v>116</v>
      </c>
      <c r="H8" s="106">
        <v>500</v>
      </c>
      <c r="I8" s="102">
        <v>15.5</v>
      </c>
      <c r="J8" s="94"/>
      <c r="K8" s="95"/>
      <c r="L8" s="83"/>
      <c r="M8" s="10"/>
      <c r="N8" s="60"/>
      <c r="O8" s="109" t="s">
        <v>8</v>
      </c>
      <c r="P8" s="78" t="s">
        <v>13</v>
      </c>
      <c r="Q8" s="97">
        <v>3.2</v>
      </c>
      <c r="R8" s="97">
        <v>3.05</v>
      </c>
      <c r="S8" s="97">
        <v>2.95</v>
      </c>
      <c r="T8" s="109">
        <v>250</v>
      </c>
      <c r="U8" s="83">
        <v>20000</v>
      </c>
      <c r="V8" s="13"/>
    </row>
    <row r="9" spans="1:22" ht="16.5" thickTop="1" thickBot="1" x14ac:dyDescent="0.3">
      <c r="A9" s="9"/>
      <c r="B9" s="65" t="s">
        <v>168</v>
      </c>
      <c r="C9" s="67" t="s">
        <v>177</v>
      </c>
      <c r="D9" s="10"/>
      <c r="E9" s="77" t="s">
        <v>89</v>
      </c>
      <c r="F9" s="78" t="s">
        <v>8</v>
      </c>
      <c r="G9" s="78" t="s">
        <v>120</v>
      </c>
      <c r="H9" s="106">
        <v>0</v>
      </c>
      <c r="I9" s="102">
        <v>3.2</v>
      </c>
      <c r="J9" s="94">
        <f>'User input &amp; design output'!I5</f>
        <v>12000</v>
      </c>
      <c r="K9" s="95">
        <f>VLOOKUP(J9,H9:I11,2,TRUE)</f>
        <v>3.05</v>
      </c>
      <c r="L9" s="83" t="s">
        <v>37</v>
      </c>
      <c r="M9" s="10"/>
      <c r="N9" s="60"/>
      <c r="O9" s="109" t="s">
        <v>9</v>
      </c>
      <c r="P9" s="78" t="s">
        <v>14</v>
      </c>
      <c r="Q9" s="97">
        <v>1.99</v>
      </c>
      <c r="R9" s="97">
        <v>1.0900000000000001</v>
      </c>
      <c r="S9" s="111" t="s">
        <v>15</v>
      </c>
      <c r="T9" s="109">
        <v>100</v>
      </c>
      <c r="U9" s="83"/>
      <c r="V9" s="13"/>
    </row>
    <row r="10" spans="1:22" ht="15.75" thickTop="1" x14ac:dyDescent="0.25">
      <c r="A10" s="9"/>
      <c r="B10" s="61" t="s">
        <v>167</v>
      </c>
      <c r="C10" s="70">
        <f>K9</f>
        <v>3.05</v>
      </c>
      <c r="D10" s="10"/>
      <c r="E10" s="77"/>
      <c r="F10" s="78"/>
      <c r="G10" s="78" t="s">
        <v>121</v>
      </c>
      <c r="H10" s="106">
        <v>250</v>
      </c>
      <c r="I10" s="102">
        <v>3.05</v>
      </c>
      <c r="J10" s="94"/>
      <c r="K10" s="95"/>
      <c r="L10" s="83"/>
      <c r="M10" s="10"/>
      <c r="N10" s="60"/>
      <c r="O10" s="109"/>
      <c r="P10" s="78"/>
      <c r="Q10" s="78"/>
      <c r="R10" s="78"/>
      <c r="S10" s="109"/>
      <c r="T10" s="109"/>
      <c r="U10" s="83"/>
      <c r="V10" s="13"/>
    </row>
    <row r="11" spans="1:22" x14ac:dyDescent="0.25">
      <c r="A11" s="9"/>
      <c r="B11" s="60" t="s">
        <v>165</v>
      </c>
      <c r="C11" s="59">
        <f>K20</f>
        <v>1.0900000000000001</v>
      </c>
      <c r="D11" s="10"/>
      <c r="E11" s="77"/>
      <c r="F11" s="78"/>
      <c r="G11" s="78" t="s">
        <v>122</v>
      </c>
      <c r="H11" s="106">
        <v>20000</v>
      </c>
      <c r="I11" s="102">
        <v>2.95</v>
      </c>
      <c r="J11" s="94"/>
      <c r="K11" s="95"/>
      <c r="L11" s="83"/>
      <c r="M11" s="10"/>
      <c r="N11" s="60"/>
      <c r="O11" s="109" t="s">
        <v>18</v>
      </c>
      <c r="P11" s="78" t="s">
        <v>19</v>
      </c>
      <c r="Q11" s="97">
        <v>179.95</v>
      </c>
      <c r="R11" s="78"/>
      <c r="S11" s="109"/>
      <c r="T11" s="109"/>
      <c r="U11" s="83"/>
      <c r="V11" s="13"/>
    </row>
    <row r="12" spans="1:22" x14ac:dyDescent="0.25">
      <c r="A12" s="9"/>
      <c r="B12" s="60" t="s">
        <v>170</v>
      </c>
      <c r="C12" s="59">
        <f>K22</f>
        <v>0.9</v>
      </c>
      <c r="D12" s="10"/>
      <c r="E12" s="77" t="s">
        <v>100</v>
      </c>
      <c r="F12" s="78" t="s">
        <v>126</v>
      </c>
      <c r="G12" s="78"/>
      <c r="H12" s="106"/>
      <c r="I12" s="102">
        <v>129</v>
      </c>
      <c r="J12" s="94"/>
      <c r="K12" s="95">
        <f>I12/3750</f>
        <v>3.44E-2</v>
      </c>
      <c r="L12" s="83" t="s">
        <v>75</v>
      </c>
      <c r="M12" s="10"/>
      <c r="N12" s="60"/>
      <c r="O12" s="109" t="s">
        <v>20</v>
      </c>
      <c r="P12" s="78" t="s">
        <v>21</v>
      </c>
      <c r="Q12" s="97">
        <v>1400</v>
      </c>
      <c r="R12" s="97">
        <v>1100</v>
      </c>
      <c r="S12" s="109"/>
      <c r="T12" s="109"/>
      <c r="U12" s="83"/>
      <c r="V12" s="13"/>
    </row>
    <row r="13" spans="1:22" x14ac:dyDescent="0.25">
      <c r="A13" s="9"/>
      <c r="B13" s="76" t="s">
        <v>166</v>
      </c>
      <c r="C13" s="71">
        <f>K23</f>
        <v>5</v>
      </c>
      <c r="D13" s="10"/>
      <c r="E13" s="77" t="s">
        <v>162</v>
      </c>
      <c r="F13" s="78" t="s">
        <v>127</v>
      </c>
      <c r="G13" s="107" t="s">
        <v>163</v>
      </c>
      <c r="H13" s="106">
        <v>0</v>
      </c>
      <c r="I13" s="102">
        <v>0.11</v>
      </c>
      <c r="J13" s="94">
        <f>'User input &amp; design output'!I14</f>
        <v>72000</v>
      </c>
      <c r="K13" s="95">
        <f>VLOOKUP(J13,H13:I14,2,TRUE)</f>
        <v>0.11</v>
      </c>
      <c r="L13" s="83" t="s">
        <v>37</v>
      </c>
      <c r="M13" s="10"/>
      <c r="N13" s="60"/>
      <c r="O13" s="109" t="s">
        <v>22</v>
      </c>
      <c r="P13" s="78" t="s">
        <v>21</v>
      </c>
      <c r="Q13" s="97">
        <v>150</v>
      </c>
      <c r="R13" s="97">
        <v>129</v>
      </c>
      <c r="S13" s="109"/>
      <c r="T13" s="109"/>
      <c r="U13" s="83"/>
      <c r="V13" s="13"/>
    </row>
    <row r="14" spans="1:22" ht="15.75" thickBot="1" x14ac:dyDescent="0.3">
      <c r="A14" s="9"/>
      <c r="B14" s="64" t="s">
        <v>232</v>
      </c>
      <c r="C14" s="63">
        <v>0</v>
      </c>
      <c r="D14" s="10"/>
      <c r="E14" s="77"/>
      <c r="F14" s="78"/>
      <c r="G14" s="78" t="s">
        <v>116</v>
      </c>
      <c r="H14" s="106">
        <v>500</v>
      </c>
      <c r="I14" s="102">
        <v>0.11</v>
      </c>
      <c r="J14" s="94"/>
      <c r="K14" s="95"/>
      <c r="L14" s="83"/>
      <c r="M14" s="10"/>
      <c r="N14" s="60"/>
      <c r="O14" s="109"/>
      <c r="P14" s="78"/>
      <c r="Q14" s="78"/>
      <c r="R14" s="78"/>
      <c r="S14" s="109"/>
      <c r="T14" s="109"/>
      <c r="U14" s="83"/>
      <c r="V14" s="13"/>
    </row>
    <row r="15" spans="1:22" ht="15.75" thickTop="1" x14ac:dyDescent="0.25">
      <c r="A15" s="9"/>
      <c r="B15" s="10"/>
      <c r="C15" s="10"/>
      <c r="D15" s="10"/>
      <c r="E15" s="77" t="s">
        <v>130</v>
      </c>
      <c r="F15" s="78" t="s">
        <v>131</v>
      </c>
      <c r="G15" s="78"/>
      <c r="H15" s="106"/>
      <c r="I15" s="102">
        <v>13.99</v>
      </c>
      <c r="J15" s="94"/>
      <c r="K15" s="95">
        <v>13.99</v>
      </c>
      <c r="L15" s="83" t="s">
        <v>37</v>
      </c>
      <c r="M15" s="10"/>
      <c r="N15" s="116" t="s">
        <v>23</v>
      </c>
      <c r="O15" s="117"/>
      <c r="P15" s="78"/>
      <c r="Q15" s="78"/>
      <c r="R15" s="78"/>
      <c r="S15" s="119" t="s">
        <v>26</v>
      </c>
      <c r="T15" s="109"/>
      <c r="U15" s="83"/>
      <c r="V15" s="13"/>
    </row>
    <row r="16" spans="1:22" x14ac:dyDescent="0.25">
      <c r="A16" s="9"/>
      <c r="B16" s="10"/>
      <c r="C16" s="10"/>
      <c r="D16" s="10"/>
      <c r="E16" s="77" t="s">
        <v>101</v>
      </c>
      <c r="F16" s="78" t="s">
        <v>132</v>
      </c>
      <c r="G16" s="107" t="s">
        <v>128</v>
      </c>
      <c r="H16" s="106">
        <v>0</v>
      </c>
      <c r="I16" s="102">
        <v>5.69</v>
      </c>
      <c r="J16" s="94">
        <f>'User input &amp; design output'!I13</f>
        <v>90</v>
      </c>
      <c r="K16" s="95">
        <f>VLOOKUP(J16,H16:I17,2,TRUE)</f>
        <v>4.95</v>
      </c>
      <c r="L16" s="83" t="s">
        <v>37</v>
      </c>
      <c r="M16" s="10"/>
      <c r="N16" s="60"/>
      <c r="O16" s="109" t="s">
        <v>24</v>
      </c>
      <c r="P16" s="78" t="s">
        <v>25</v>
      </c>
      <c r="Q16" s="97">
        <v>129</v>
      </c>
      <c r="R16" s="97">
        <v>124.9</v>
      </c>
      <c r="S16" s="109">
        <v>3750</v>
      </c>
      <c r="T16" s="109" t="s">
        <v>75</v>
      </c>
      <c r="U16" s="83"/>
      <c r="V16" s="13"/>
    </row>
    <row r="17" spans="1:22" x14ac:dyDescent="0.25">
      <c r="A17" s="9"/>
      <c r="B17" s="10"/>
      <c r="C17" s="10"/>
      <c r="D17" s="10"/>
      <c r="E17" s="77"/>
      <c r="F17" s="78"/>
      <c r="G17" s="78" t="s">
        <v>129</v>
      </c>
      <c r="H17" s="106">
        <v>25</v>
      </c>
      <c r="I17" s="102">
        <v>4.95</v>
      </c>
      <c r="J17" s="94"/>
      <c r="K17" s="95"/>
      <c r="L17" s="83"/>
      <c r="M17" s="10"/>
      <c r="N17" s="60"/>
      <c r="O17" s="109" t="s">
        <v>27</v>
      </c>
      <c r="P17" s="78" t="s">
        <v>28</v>
      </c>
      <c r="Q17" s="97">
        <v>129</v>
      </c>
      <c r="R17" s="97">
        <v>124.9</v>
      </c>
      <c r="S17" s="109">
        <v>3820</v>
      </c>
      <c r="T17" s="109" t="s">
        <v>75</v>
      </c>
      <c r="U17" s="83"/>
      <c r="V17" s="13"/>
    </row>
    <row r="18" spans="1:22" x14ac:dyDescent="0.25">
      <c r="A18" s="9"/>
      <c r="B18" s="10"/>
      <c r="C18" s="10"/>
      <c r="D18" s="10"/>
      <c r="E18" s="77" t="s">
        <v>97</v>
      </c>
      <c r="F18" s="78" t="s">
        <v>133</v>
      </c>
      <c r="G18" s="78" t="s">
        <v>135</v>
      </c>
      <c r="H18" s="106">
        <v>0</v>
      </c>
      <c r="I18" s="102">
        <f>3*0.0028125</f>
        <v>8.4375000000000006E-3</v>
      </c>
      <c r="J18" s="94">
        <f>'User input &amp; design output'!I15</f>
        <v>2400</v>
      </c>
      <c r="K18" s="95">
        <f>VLOOKUP(J18,H18:I19,2,TRUE)</f>
        <v>7.1718749999999994E-3</v>
      </c>
      <c r="L18" s="83" t="s">
        <v>37</v>
      </c>
      <c r="M18" s="10"/>
      <c r="N18" s="60"/>
      <c r="O18" s="109" t="s">
        <v>29</v>
      </c>
      <c r="P18" s="78" t="s">
        <v>30</v>
      </c>
      <c r="Q18" s="97">
        <v>139</v>
      </c>
      <c r="R18" s="97">
        <v>134</v>
      </c>
      <c r="S18" s="109">
        <v>5728</v>
      </c>
      <c r="T18" s="109" t="s">
        <v>75</v>
      </c>
      <c r="U18" s="83"/>
      <c r="V18" s="13"/>
    </row>
    <row r="19" spans="1:22" x14ac:dyDescent="0.25">
      <c r="A19" s="9"/>
      <c r="B19" s="10"/>
      <c r="C19" s="10"/>
      <c r="D19" s="10"/>
      <c r="E19" s="79"/>
      <c r="F19" s="80"/>
      <c r="G19" s="80" t="s">
        <v>134</v>
      </c>
      <c r="H19" s="108">
        <v>356</v>
      </c>
      <c r="I19" s="103">
        <f>2.55*0.0028125</f>
        <v>7.1718749999999994E-3</v>
      </c>
      <c r="J19" s="96"/>
      <c r="K19" s="96"/>
      <c r="L19" s="84"/>
      <c r="M19" s="10"/>
      <c r="N19" s="60"/>
      <c r="O19" s="109" t="s">
        <v>31</v>
      </c>
      <c r="P19" s="78" t="s">
        <v>32</v>
      </c>
      <c r="Q19" s="97">
        <v>139</v>
      </c>
      <c r="R19" s="97">
        <v>134</v>
      </c>
      <c r="S19" s="109">
        <v>5845</v>
      </c>
      <c r="T19" s="109" t="s">
        <v>75</v>
      </c>
      <c r="U19" s="83"/>
      <c r="V19" s="13"/>
    </row>
    <row r="20" spans="1:22" x14ac:dyDescent="0.25">
      <c r="A20" s="9"/>
      <c r="B20" s="10"/>
      <c r="C20" s="10"/>
      <c r="D20" s="10"/>
      <c r="E20" s="77" t="s">
        <v>165</v>
      </c>
      <c r="F20" s="78" t="s">
        <v>171</v>
      </c>
      <c r="G20" s="78" t="s">
        <v>172</v>
      </c>
      <c r="H20" s="78">
        <v>0</v>
      </c>
      <c r="I20" s="102">
        <v>1.99</v>
      </c>
      <c r="J20" s="94">
        <f>'User input &amp; design output'!I5</f>
        <v>12000</v>
      </c>
      <c r="K20" s="97">
        <f>VLOOKUP(J20,H20:I21,2,TRUE)</f>
        <v>1.0900000000000001</v>
      </c>
      <c r="L20" s="83" t="s">
        <v>37</v>
      </c>
      <c r="M20" s="10"/>
      <c r="N20" s="60"/>
      <c r="O20" s="109"/>
      <c r="P20" s="78"/>
      <c r="Q20" s="78"/>
      <c r="R20" s="78"/>
      <c r="S20" s="109"/>
      <c r="T20" s="109"/>
      <c r="U20" s="83"/>
      <c r="V20" s="13"/>
    </row>
    <row r="21" spans="1:22" x14ac:dyDescent="0.25">
      <c r="A21" s="9"/>
      <c r="B21" s="10"/>
      <c r="C21" s="10"/>
      <c r="D21" s="10"/>
      <c r="E21" s="77"/>
      <c r="F21" s="78"/>
      <c r="G21" s="78" t="s">
        <v>173</v>
      </c>
      <c r="H21" s="78">
        <v>100</v>
      </c>
      <c r="I21" s="102">
        <v>1.0900000000000001</v>
      </c>
      <c r="J21" s="94"/>
      <c r="K21" s="97"/>
      <c r="L21" s="83"/>
      <c r="M21" s="10"/>
      <c r="N21" s="116" t="s">
        <v>33</v>
      </c>
      <c r="O21" s="117"/>
      <c r="P21" s="78"/>
      <c r="Q21" s="78"/>
      <c r="R21" s="78"/>
      <c r="S21" s="119" t="s">
        <v>36</v>
      </c>
      <c r="T21" s="109"/>
      <c r="U21" s="83"/>
      <c r="V21" s="13"/>
    </row>
    <row r="22" spans="1:22" x14ac:dyDescent="0.25">
      <c r="A22" s="9"/>
      <c r="B22" s="10"/>
      <c r="C22" s="10"/>
      <c r="D22" s="10"/>
      <c r="E22" s="77" t="s">
        <v>170</v>
      </c>
      <c r="F22" s="78" t="s">
        <v>174</v>
      </c>
      <c r="G22" s="109"/>
      <c r="H22" s="109"/>
      <c r="I22" s="102">
        <v>0.9</v>
      </c>
      <c r="J22" s="94">
        <f>'User input &amp; design output'!I5</f>
        <v>12000</v>
      </c>
      <c r="K22" s="98">
        <f>I22</f>
        <v>0.9</v>
      </c>
      <c r="L22" s="83" t="s">
        <v>37</v>
      </c>
      <c r="M22" s="10"/>
      <c r="N22" s="60"/>
      <c r="O22" s="109" t="s">
        <v>34</v>
      </c>
      <c r="P22" s="78" t="s">
        <v>35</v>
      </c>
      <c r="Q22" s="97">
        <v>15</v>
      </c>
      <c r="R22" s="111">
        <v>11.95</v>
      </c>
      <c r="S22" s="109" t="s">
        <v>37</v>
      </c>
      <c r="T22" s="109"/>
      <c r="U22" s="83"/>
      <c r="V22" s="13"/>
    </row>
    <row r="23" spans="1:22" ht="15.75" thickBot="1" x14ac:dyDescent="0.3">
      <c r="A23" s="9"/>
      <c r="B23" s="10"/>
      <c r="C23" s="10"/>
      <c r="D23" s="10"/>
      <c r="E23" s="81" t="s">
        <v>175</v>
      </c>
      <c r="F23" s="82" t="s">
        <v>176</v>
      </c>
      <c r="G23" s="110"/>
      <c r="H23" s="110"/>
      <c r="I23" s="104">
        <v>5</v>
      </c>
      <c r="J23" s="99">
        <f>'User input &amp; design output'!I5</f>
        <v>12000</v>
      </c>
      <c r="K23" s="100">
        <f>I23</f>
        <v>5</v>
      </c>
      <c r="L23" s="85" t="s">
        <v>37</v>
      </c>
      <c r="M23" s="10"/>
      <c r="N23" s="60"/>
      <c r="O23" s="109" t="s">
        <v>38</v>
      </c>
      <c r="P23" s="78" t="s">
        <v>39</v>
      </c>
      <c r="Q23" s="97">
        <v>10</v>
      </c>
      <c r="R23" s="111">
        <v>7.99</v>
      </c>
      <c r="S23" s="109" t="s">
        <v>37</v>
      </c>
      <c r="T23" s="109"/>
      <c r="U23" s="83"/>
      <c r="V23" s="13"/>
    </row>
    <row r="24" spans="1:22" ht="15.75" thickTop="1" x14ac:dyDescent="0.25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60"/>
      <c r="O24" s="109" t="s">
        <v>40</v>
      </c>
      <c r="P24" s="78" t="s">
        <v>41</v>
      </c>
      <c r="Q24" s="97">
        <v>12</v>
      </c>
      <c r="R24" s="111">
        <v>10</v>
      </c>
      <c r="S24" s="109" t="s">
        <v>37</v>
      </c>
      <c r="T24" s="109"/>
      <c r="U24" s="83"/>
      <c r="V24" s="13"/>
    </row>
    <row r="25" spans="1:22" x14ac:dyDescent="0.25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60"/>
      <c r="O25" s="109" t="s">
        <v>42</v>
      </c>
      <c r="P25" s="78" t="s">
        <v>43</v>
      </c>
      <c r="Q25" s="97">
        <v>13.99</v>
      </c>
      <c r="R25" s="111"/>
      <c r="S25" s="109" t="s">
        <v>37</v>
      </c>
      <c r="T25" s="109"/>
      <c r="U25" s="83"/>
      <c r="V25" s="13"/>
    </row>
    <row r="26" spans="1:22" x14ac:dyDescent="0.25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60"/>
      <c r="O26" s="109"/>
      <c r="P26" s="78"/>
      <c r="Q26" s="78"/>
      <c r="R26" s="109"/>
      <c r="S26" s="109"/>
      <c r="T26" s="109"/>
      <c r="U26" s="83"/>
      <c r="V26" s="13"/>
    </row>
    <row r="27" spans="1:22" x14ac:dyDescent="0.25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16" t="s">
        <v>44</v>
      </c>
      <c r="O27" s="117"/>
      <c r="P27" s="78"/>
      <c r="Q27" s="78"/>
      <c r="R27" s="109"/>
      <c r="S27" s="109"/>
      <c r="T27" s="119" t="s">
        <v>47</v>
      </c>
      <c r="U27" s="83"/>
      <c r="V27" s="13"/>
    </row>
    <row r="28" spans="1:22" x14ac:dyDescent="0.25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60"/>
      <c r="O28" s="109" t="s">
        <v>45</v>
      </c>
      <c r="P28" s="78" t="s">
        <v>46</v>
      </c>
      <c r="Q28" s="97">
        <v>10.99</v>
      </c>
      <c r="R28" s="109">
        <v>12</v>
      </c>
      <c r="S28" s="109" t="s">
        <v>102</v>
      </c>
      <c r="T28" s="97">
        <v>7.5</v>
      </c>
      <c r="U28" s="83"/>
      <c r="V28" s="13"/>
    </row>
    <row r="29" spans="1:22" x14ac:dyDescent="0.25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60"/>
      <c r="O29" s="109" t="s">
        <v>48</v>
      </c>
      <c r="P29" s="78" t="s">
        <v>49</v>
      </c>
      <c r="Q29" s="97">
        <v>19.989999999999998</v>
      </c>
      <c r="R29" s="109">
        <v>5</v>
      </c>
      <c r="S29" s="109" t="s">
        <v>103</v>
      </c>
      <c r="T29" s="97">
        <v>16.89</v>
      </c>
      <c r="U29" s="83"/>
      <c r="V29" s="13"/>
    </row>
    <row r="30" spans="1:22" x14ac:dyDescent="0.25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60"/>
      <c r="O30" s="109" t="s">
        <v>50</v>
      </c>
      <c r="P30" s="78" t="s">
        <v>51</v>
      </c>
      <c r="Q30" s="97">
        <v>5.2</v>
      </c>
      <c r="R30" s="109">
        <v>20</v>
      </c>
      <c r="S30" s="109" t="s">
        <v>102</v>
      </c>
      <c r="T30" s="97">
        <v>4.45</v>
      </c>
      <c r="U30" s="83"/>
      <c r="V30" s="13"/>
    </row>
    <row r="31" spans="1:22" x14ac:dyDescent="0.25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60"/>
      <c r="O31" s="109" t="s">
        <v>52</v>
      </c>
      <c r="P31" s="78" t="s">
        <v>53</v>
      </c>
      <c r="Q31" s="97">
        <v>5.69</v>
      </c>
      <c r="R31" s="109">
        <v>25</v>
      </c>
      <c r="S31" s="109" t="s">
        <v>102</v>
      </c>
      <c r="T31" s="97">
        <v>4.95</v>
      </c>
      <c r="U31" s="83"/>
      <c r="V31" s="13"/>
    </row>
    <row r="32" spans="1:22" x14ac:dyDescent="0.25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60"/>
      <c r="O32" s="109" t="s">
        <v>54</v>
      </c>
      <c r="P32" s="78" t="s">
        <v>55</v>
      </c>
      <c r="Q32" s="97">
        <v>3.5</v>
      </c>
      <c r="R32" s="109">
        <v>20</v>
      </c>
      <c r="S32" s="109" t="s">
        <v>37</v>
      </c>
      <c r="T32" s="97">
        <v>2.99</v>
      </c>
      <c r="U32" s="83"/>
      <c r="V32" s="13"/>
    </row>
    <row r="33" spans="1:22" x14ac:dyDescent="0.25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60"/>
      <c r="O33" s="109" t="s">
        <v>56</v>
      </c>
      <c r="P33" s="78" t="s">
        <v>57</v>
      </c>
      <c r="Q33" s="97">
        <v>4.99</v>
      </c>
      <c r="R33" s="109">
        <v>20</v>
      </c>
      <c r="S33" s="109" t="s">
        <v>102</v>
      </c>
      <c r="T33" s="97">
        <v>3.89</v>
      </c>
      <c r="U33" s="83"/>
      <c r="V33" s="13"/>
    </row>
    <row r="34" spans="1:22" x14ac:dyDescent="0.25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60"/>
      <c r="O34" s="109" t="s">
        <v>58</v>
      </c>
      <c r="P34" s="78" t="s">
        <v>62</v>
      </c>
      <c r="Q34" s="97">
        <v>1.49</v>
      </c>
      <c r="R34" s="109">
        <v>100</v>
      </c>
      <c r="S34" s="109" t="s">
        <v>104</v>
      </c>
      <c r="T34" s="97">
        <v>1.25</v>
      </c>
      <c r="U34" s="83"/>
      <c r="V34" s="13"/>
    </row>
    <row r="35" spans="1:22" x14ac:dyDescent="0.25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60"/>
      <c r="O35" s="109" t="s">
        <v>59</v>
      </c>
      <c r="P35" s="78" t="s">
        <v>63</v>
      </c>
      <c r="Q35" s="97">
        <v>3.75</v>
      </c>
      <c r="R35" s="109">
        <v>25</v>
      </c>
      <c r="S35" s="109" t="s">
        <v>102</v>
      </c>
      <c r="T35" s="97">
        <v>3.2</v>
      </c>
      <c r="U35" s="83"/>
      <c r="V35" s="13"/>
    </row>
    <row r="36" spans="1:22" x14ac:dyDescent="0.25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60"/>
      <c r="O36" s="109" t="s">
        <v>68</v>
      </c>
      <c r="P36" s="78" t="s">
        <v>64</v>
      </c>
      <c r="Q36" s="97">
        <v>3.75</v>
      </c>
      <c r="R36" s="109">
        <v>25</v>
      </c>
      <c r="S36" s="109" t="s">
        <v>102</v>
      </c>
      <c r="T36" s="97">
        <v>3.2</v>
      </c>
      <c r="U36" s="83"/>
      <c r="V36" s="13"/>
    </row>
    <row r="37" spans="1:22" x14ac:dyDescent="0.25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60"/>
      <c r="O37" s="109" t="s">
        <v>69</v>
      </c>
      <c r="P37" s="78" t="s">
        <v>65</v>
      </c>
      <c r="Q37" s="97">
        <v>3</v>
      </c>
      <c r="R37" s="109">
        <v>50</v>
      </c>
      <c r="S37" s="109" t="s">
        <v>105</v>
      </c>
      <c r="T37" s="97">
        <v>2.5499999999999998</v>
      </c>
      <c r="U37" s="83"/>
      <c r="V37" s="13"/>
    </row>
    <row r="38" spans="1:22" x14ac:dyDescent="0.25">
      <c r="A38" s="9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60"/>
      <c r="O38" s="109" t="s">
        <v>60</v>
      </c>
      <c r="P38" s="78" t="s">
        <v>66</v>
      </c>
      <c r="Q38" s="97">
        <v>55</v>
      </c>
      <c r="R38" s="109">
        <v>5</v>
      </c>
      <c r="S38" s="109" t="s">
        <v>104</v>
      </c>
      <c r="T38" s="97">
        <v>46.75</v>
      </c>
      <c r="U38" s="83"/>
      <c r="V38" s="13"/>
    </row>
    <row r="39" spans="1:22" ht="15.75" thickBot="1" x14ac:dyDescent="0.3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64"/>
      <c r="O39" s="110" t="s">
        <v>61</v>
      </c>
      <c r="P39" s="82" t="s">
        <v>67</v>
      </c>
      <c r="Q39" s="118">
        <v>500</v>
      </c>
      <c r="R39" s="110">
        <v>5</v>
      </c>
      <c r="S39" s="110" t="s">
        <v>37</v>
      </c>
      <c r="T39" s="118">
        <v>30</v>
      </c>
      <c r="U39" s="85"/>
      <c r="V39" s="13"/>
    </row>
    <row r="40" spans="1:22" ht="16.5" thickTop="1" thickBot="1" x14ac:dyDescent="0.3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4"/>
    </row>
    <row r="41" spans="1:22" ht="15.75" thickTop="1" x14ac:dyDescent="0.25"/>
  </sheetData>
  <mergeCells count="1">
    <mergeCell ref="N2:U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X209"/>
  <sheetViews>
    <sheetView zoomScaleNormal="100" workbookViewId="0">
      <selection activeCell="F45" sqref="F45"/>
    </sheetView>
  </sheetViews>
  <sheetFormatPr defaultRowHeight="15" x14ac:dyDescent="0.25"/>
  <cols>
    <col min="1" max="1" width="2.28515625" customWidth="1"/>
    <col min="2" max="2" width="25" customWidth="1"/>
    <col min="3" max="3" width="13.7109375" customWidth="1"/>
    <col min="4" max="4" width="23.28515625" customWidth="1"/>
    <col min="5" max="5" width="2.7109375" customWidth="1"/>
    <col min="6" max="6" width="19" customWidth="1"/>
    <col min="7" max="7" width="16.7109375" customWidth="1"/>
    <col min="8" max="8" width="3.140625" customWidth="1"/>
    <col min="10" max="10" width="15" customWidth="1"/>
    <col min="11" max="11" width="20.5703125" customWidth="1"/>
    <col min="14" max="14" width="13" style="131" customWidth="1"/>
    <col min="15" max="15" width="12.85546875" style="131" customWidth="1"/>
    <col min="16" max="16" width="23.5703125" style="131" customWidth="1"/>
    <col min="17" max="17" width="7.7109375" style="131" customWidth="1"/>
    <col min="18" max="18" width="10.42578125" style="131" customWidth="1"/>
    <col min="19" max="19" width="14.42578125" style="131" customWidth="1"/>
    <col min="20" max="20" width="2.5703125" style="131" customWidth="1"/>
    <col min="21" max="21" width="15.28515625" style="131" customWidth="1"/>
    <col min="22" max="22" width="14.7109375" style="131" customWidth="1"/>
    <col min="23" max="23" width="15" style="131" customWidth="1"/>
    <col min="24" max="24" width="10.42578125" style="131" customWidth="1"/>
  </cols>
  <sheetData>
    <row r="1" spans="1:20" ht="16.5" thickTop="1" thickBot="1" x14ac:dyDescent="0.3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33"/>
      <c r="O1" s="133"/>
      <c r="P1" s="133"/>
      <c r="Q1" s="133"/>
      <c r="R1" s="133"/>
      <c r="S1" s="133"/>
      <c r="T1" s="134"/>
    </row>
    <row r="2" spans="1:20" ht="16.5" thickTop="1" thickBot="1" x14ac:dyDescent="0.3">
      <c r="A2" s="9"/>
      <c r="B2" s="187" t="s">
        <v>221</v>
      </c>
      <c r="C2" s="187"/>
      <c r="D2" s="187"/>
      <c r="E2" s="10"/>
      <c r="F2" s="129" t="s">
        <v>189</v>
      </c>
      <c r="G2" s="125" t="s">
        <v>192</v>
      </c>
      <c r="H2" s="13"/>
      <c r="I2" s="184" t="s">
        <v>285</v>
      </c>
      <c r="J2" s="185"/>
      <c r="K2" s="185"/>
      <c r="L2" s="185"/>
      <c r="M2" s="185"/>
      <c r="N2" s="185"/>
      <c r="O2" s="185"/>
      <c r="P2" s="185"/>
      <c r="Q2" s="185"/>
      <c r="R2" s="185"/>
      <c r="S2" s="186"/>
      <c r="T2" s="135"/>
    </row>
    <row r="3" spans="1:20" ht="16.5" thickTop="1" thickBot="1" x14ac:dyDescent="0.3">
      <c r="A3" s="9"/>
      <c r="B3" s="122" t="s">
        <v>225</v>
      </c>
      <c r="C3" s="89" t="s">
        <v>223</v>
      </c>
      <c r="D3" s="130" t="s">
        <v>224</v>
      </c>
      <c r="E3" s="10"/>
      <c r="F3" s="86" t="s">
        <v>190</v>
      </c>
      <c r="G3" s="126">
        <v>1</v>
      </c>
      <c r="H3" s="13"/>
      <c r="I3" s="139" t="s">
        <v>256</v>
      </c>
      <c r="J3" s="140" t="s">
        <v>258</v>
      </c>
      <c r="K3" s="140" t="s">
        <v>260</v>
      </c>
      <c r="L3" s="140" t="s">
        <v>261</v>
      </c>
      <c r="M3" s="140" t="s">
        <v>263</v>
      </c>
      <c r="N3" s="140" t="s">
        <v>270</v>
      </c>
      <c r="O3" s="140" t="s">
        <v>269</v>
      </c>
      <c r="P3" s="140" t="s">
        <v>183</v>
      </c>
      <c r="Q3" s="140" t="s">
        <v>183</v>
      </c>
      <c r="R3" s="140" t="s">
        <v>183</v>
      </c>
      <c r="S3" s="141" t="s">
        <v>268</v>
      </c>
      <c r="T3" s="135"/>
    </row>
    <row r="4" spans="1:20" ht="16.5" thickTop="1" thickBot="1" x14ac:dyDescent="0.3">
      <c r="A4" s="9"/>
      <c r="B4" s="61" t="s">
        <v>160</v>
      </c>
      <c r="C4" s="123">
        <v>42</v>
      </c>
      <c r="D4" s="88" t="s">
        <v>138</v>
      </c>
      <c r="E4" s="10"/>
      <c r="F4" s="81" t="s">
        <v>191</v>
      </c>
      <c r="G4" s="127">
        <v>0.66666666699999999</v>
      </c>
      <c r="H4" s="13"/>
      <c r="I4" s="142" t="s">
        <v>257</v>
      </c>
      <c r="J4" s="143" t="s">
        <v>259</v>
      </c>
      <c r="K4" s="143" t="s">
        <v>276</v>
      </c>
      <c r="L4" s="143" t="s">
        <v>277</v>
      </c>
      <c r="M4" s="143" t="s">
        <v>278</v>
      </c>
      <c r="N4" s="143" t="s">
        <v>279</v>
      </c>
      <c r="O4" s="143" t="s">
        <v>278</v>
      </c>
      <c r="P4" s="143" t="s">
        <v>280</v>
      </c>
      <c r="Q4" s="143" t="s">
        <v>281</v>
      </c>
      <c r="R4" s="143" t="s">
        <v>282</v>
      </c>
      <c r="S4" s="144" t="s">
        <v>279</v>
      </c>
      <c r="T4" s="135"/>
    </row>
    <row r="5" spans="1:20" ht="16.5" thickTop="1" thickBot="1" x14ac:dyDescent="0.3">
      <c r="A5" s="9"/>
      <c r="B5" s="60" t="s">
        <v>159</v>
      </c>
      <c r="C5" s="124">
        <v>715</v>
      </c>
      <c r="D5" s="83" t="s">
        <v>138</v>
      </c>
      <c r="E5" s="10"/>
      <c r="F5" s="10"/>
      <c r="G5" s="10"/>
      <c r="H5" s="13"/>
      <c r="I5" s="145">
        <v>1E-3</v>
      </c>
      <c r="J5" s="94">
        <f>180*3.14*I5</f>
        <v>0.56520000000000004</v>
      </c>
      <c r="K5" s="94">
        <f t="shared" ref="K5:K68" si="0">$C$36/2*TAN(I5)*12</f>
        <v>0.18000006000002403</v>
      </c>
      <c r="L5" s="94">
        <f t="shared" ref="L5:L68" si="1">2*($C$36^2/4+(K5/12)^2)^0.5</f>
        <v>30.00001500000625</v>
      </c>
      <c r="M5" s="94">
        <f t="shared" ref="M5:M68" si="2">$C$37+(L5-$C$36)*$C$39*$C$40/$C$36</f>
        <v>200.23081364617894</v>
      </c>
      <c r="N5" s="94">
        <f t="shared" ref="N5:N68" si="3">M5/$C$39</f>
        <v>8675.0025570933303</v>
      </c>
      <c r="O5" s="94">
        <f>2*M5*SIN(I5)</f>
        <v>0.4004615605487567</v>
      </c>
      <c r="P5" s="94">
        <f t="shared" ref="P5:P68" si="4">(4*O5*4.448/(0.5*$C$44*$C$11*1.2))^0.5</f>
        <v>1.321523172074879</v>
      </c>
      <c r="Q5" s="94">
        <f>P5/1000*3600</f>
        <v>4.7574834194695645</v>
      </c>
      <c r="R5" s="94">
        <f>P5*3.28084</f>
        <v>4.3357060838701464</v>
      </c>
      <c r="S5" s="128">
        <f t="shared" ref="S5:S68" si="5">$C$42</f>
        <v>71068.62000000001</v>
      </c>
      <c r="T5" s="135"/>
    </row>
    <row r="6" spans="1:20" ht="16.5" thickTop="1" thickBot="1" x14ac:dyDescent="0.3">
      <c r="A6" s="9"/>
      <c r="B6" s="60" t="s">
        <v>214</v>
      </c>
      <c r="C6" s="124">
        <v>8760</v>
      </c>
      <c r="D6" s="83"/>
      <c r="E6" s="10"/>
      <c r="F6" s="129" t="s">
        <v>193</v>
      </c>
      <c r="G6" s="125" t="s">
        <v>194</v>
      </c>
      <c r="H6" s="13"/>
      <c r="I6" s="145">
        <v>1.5E-3</v>
      </c>
      <c r="J6" s="94">
        <f t="shared" ref="J6:J69" si="6">180*3.14*I6</f>
        <v>0.84780000000000011</v>
      </c>
      <c r="K6" s="94">
        <f t="shared" si="0"/>
        <v>0.27000020250018225</v>
      </c>
      <c r="L6" s="94">
        <f t="shared" si="1"/>
        <v>30.000033750031641</v>
      </c>
      <c r="M6" s="94">
        <f t="shared" si="2"/>
        <v>200.51933097437075</v>
      </c>
      <c r="N6" s="94">
        <f t="shared" si="3"/>
        <v>8687.5025740200581</v>
      </c>
      <c r="O6" s="94">
        <f t="shared" ref="O6:O69" si="7">2*M6*SIN(I6)</f>
        <v>0.60155776733889021</v>
      </c>
      <c r="P6" s="94">
        <f t="shared" si="4"/>
        <v>1.6196942271617332</v>
      </c>
      <c r="Q6" s="94">
        <f t="shared" ref="Q6:Q69" si="8">P6/1000*3600</f>
        <v>5.830899217782239</v>
      </c>
      <c r="R6" s="94">
        <f t="shared" ref="R6:R69" si="9">P6*3.28084</f>
        <v>5.3139576082413003</v>
      </c>
      <c r="S6" s="128">
        <f t="shared" si="5"/>
        <v>71068.62000000001</v>
      </c>
      <c r="T6" s="135"/>
    </row>
    <row r="7" spans="1:20" ht="15.75" thickTop="1" x14ac:dyDescent="0.25">
      <c r="A7" s="9"/>
      <c r="B7" s="60" t="s">
        <v>215</v>
      </c>
      <c r="C7" s="124">
        <v>9200</v>
      </c>
      <c r="D7" s="83"/>
      <c r="E7" s="10"/>
      <c r="F7" s="86" t="s">
        <v>235</v>
      </c>
      <c r="G7" s="126">
        <v>12500</v>
      </c>
      <c r="H7" s="13"/>
      <c r="I7" s="145">
        <v>2E-3</v>
      </c>
      <c r="J7" s="94">
        <f t="shared" si="6"/>
        <v>1.1304000000000001</v>
      </c>
      <c r="K7" s="94">
        <f t="shared" si="0"/>
        <v>0.36000048000076801</v>
      </c>
      <c r="L7" s="94">
        <f t="shared" si="1"/>
        <v>30.0000600001</v>
      </c>
      <c r="M7" s="94">
        <f t="shared" si="2"/>
        <v>200.9232557387495</v>
      </c>
      <c r="N7" s="94">
        <f t="shared" si="3"/>
        <v>8705.0026195927185</v>
      </c>
      <c r="O7" s="94">
        <f t="shared" si="7"/>
        <v>0.8036924871597565</v>
      </c>
      <c r="P7" s="94">
        <f t="shared" si="4"/>
        <v>1.8721442966720725</v>
      </c>
      <c r="Q7" s="94">
        <f t="shared" si="8"/>
        <v>6.7397194680194605</v>
      </c>
      <c r="R7" s="94">
        <f t="shared" si="9"/>
        <v>6.1422058942936024</v>
      </c>
      <c r="S7" s="128">
        <f t="shared" si="5"/>
        <v>71068.62000000001</v>
      </c>
      <c r="T7" s="135"/>
    </row>
    <row r="8" spans="1:20" x14ac:dyDescent="0.25">
      <c r="A8" s="9"/>
      <c r="B8" s="60" t="s">
        <v>195</v>
      </c>
      <c r="C8" s="124">
        <v>30.43</v>
      </c>
      <c r="D8" s="83"/>
      <c r="E8" s="10"/>
      <c r="F8" s="77" t="s">
        <v>236</v>
      </c>
      <c r="G8" s="128">
        <v>45000</v>
      </c>
      <c r="H8" s="13"/>
      <c r="I8" s="145">
        <v>2.5000000000000001E-3</v>
      </c>
      <c r="J8" s="94">
        <f t="shared" si="6"/>
        <v>1.413</v>
      </c>
      <c r="K8" s="94">
        <f t="shared" si="0"/>
        <v>0.45000093750234371</v>
      </c>
      <c r="L8" s="94">
        <f t="shared" si="1"/>
        <v>30.00009375024414</v>
      </c>
      <c r="M8" s="94">
        <f t="shared" si="2"/>
        <v>201.44258844422546</v>
      </c>
      <c r="N8" s="94">
        <f t="shared" si="3"/>
        <v>8727.5027156865544</v>
      </c>
      <c r="O8" s="94">
        <f t="shared" si="7"/>
        <v>1.007211893041307</v>
      </c>
      <c r="P8" s="94">
        <f t="shared" si="4"/>
        <v>2.0958238948643872</v>
      </c>
      <c r="Q8" s="94">
        <f t="shared" si="8"/>
        <v>7.5449660215117937</v>
      </c>
      <c r="R8" s="94">
        <f t="shared" si="9"/>
        <v>6.8760628672268762</v>
      </c>
      <c r="S8" s="128">
        <f t="shared" si="5"/>
        <v>71068.62000000001</v>
      </c>
      <c r="T8" s="135"/>
    </row>
    <row r="9" spans="1:20" ht="15.75" thickBot="1" x14ac:dyDescent="0.3">
      <c r="A9" s="9"/>
      <c r="B9" s="60" t="s">
        <v>196</v>
      </c>
      <c r="C9" s="124">
        <f>(('User input &amp; design output'!D19*'User input &amp; design output'!D20/12+'User input &amp; design output'!D22*'User input &amp; design output'!D10*'User input &amp; design output'!D21/12)*('User input &amp; design output'!D12/'User input &amp; design output'!D10))*0.092903*1.25</f>
        <v>5.0806328125000011</v>
      </c>
      <c r="D9" s="83"/>
      <c r="E9" s="10"/>
      <c r="F9" s="81" t="s">
        <v>237</v>
      </c>
      <c r="G9" s="127">
        <v>55000</v>
      </c>
      <c r="H9" s="13"/>
      <c r="I9" s="145">
        <v>3.0000000000000001E-3</v>
      </c>
      <c r="J9" s="94">
        <f t="shared" si="6"/>
        <v>1.6956000000000002</v>
      </c>
      <c r="K9" s="94">
        <f t="shared" si="0"/>
        <v>0.54000162000583207</v>
      </c>
      <c r="L9" s="94">
        <f t="shared" si="1"/>
        <v>30.000135000506251</v>
      </c>
      <c r="M9" s="94">
        <f t="shared" si="2"/>
        <v>202.0773297399767</v>
      </c>
      <c r="N9" s="94">
        <f t="shared" si="3"/>
        <v>8755.0028904272167</v>
      </c>
      <c r="O9" s="94">
        <f t="shared" si="7"/>
        <v>1.2124621597447109</v>
      </c>
      <c r="P9" s="94">
        <f t="shared" si="4"/>
        <v>2.2994737787134523</v>
      </c>
      <c r="Q9" s="94">
        <f t="shared" si="8"/>
        <v>8.278105603368429</v>
      </c>
      <c r="R9" s="94">
        <f t="shared" si="9"/>
        <v>7.544205552154243</v>
      </c>
      <c r="S9" s="128">
        <f t="shared" si="5"/>
        <v>71068.62000000001</v>
      </c>
      <c r="T9" s="135"/>
    </row>
    <row r="10" spans="1:20" ht="15.75" thickTop="1" x14ac:dyDescent="0.25">
      <c r="A10" s="9"/>
      <c r="B10" s="60" t="s">
        <v>197</v>
      </c>
      <c r="C10" s="124">
        <f>(('User input &amp; design output'!D14-'User input &amp; design output'!D15)*('User input &amp; design output'!D13/12)+('User input &amp; design output'!D12*'User input &amp; design output'!D8*(0.1/12)))*0.0929</f>
        <v>0.58062499999999995</v>
      </c>
      <c r="D10" s="83"/>
      <c r="E10" s="10"/>
      <c r="F10" s="10"/>
      <c r="G10" s="10"/>
      <c r="H10" s="13"/>
      <c r="I10" s="145">
        <v>3.5000000000000001E-3</v>
      </c>
      <c r="J10" s="94">
        <f t="shared" si="6"/>
        <v>1.9782000000000002</v>
      </c>
      <c r="K10" s="94">
        <f t="shared" si="0"/>
        <v>0.63000257251260527</v>
      </c>
      <c r="L10" s="94">
        <f t="shared" si="1"/>
        <v>30.000183750937897</v>
      </c>
      <c r="M10" s="94">
        <f t="shared" si="2"/>
        <v>202.82748041944922</v>
      </c>
      <c r="N10" s="94">
        <f t="shared" si="3"/>
        <v>8787.5031781907601</v>
      </c>
      <c r="O10" s="94">
        <f t="shared" si="7"/>
        <v>1.4197894641951792</v>
      </c>
      <c r="P10" s="94">
        <f t="shared" si="4"/>
        <v>2.4883206257311743</v>
      </c>
      <c r="Q10" s="94">
        <f t="shared" si="8"/>
        <v>8.9579542526322271</v>
      </c>
      <c r="R10" s="94">
        <f t="shared" si="9"/>
        <v>8.1637818417238659</v>
      </c>
      <c r="S10" s="128">
        <f t="shared" si="5"/>
        <v>71068.62000000001</v>
      </c>
      <c r="T10" s="135"/>
    </row>
    <row r="11" spans="1:20" x14ac:dyDescent="0.25">
      <c r="A11" s="9"/>
      <c r="B11" s="60" t="s">
        <v>198</v>
      </c>
      <c r="C11" s="124">
        <f>C9+C10</f>
        <v>5.6612578125000006</v>
      </c>
      <c r="D11" s="83"/>
      <c r="E11" s="10"/>
      <c r="F11" s="10"/>
      <c r="G11" s="10"/>
      <c r="H11" s="13"/>
      <c r="I11" s="145">
        <v>4.0000000000000001E-3</v>
      </c>
      <c r="J11" s="94">
        <f t="shared" si="6"/>
        <v>2.2608000000000001</v>
      </c>
      <c r="K11" s="94">
        <f t="shared" si="0"/>
        <v>0.72000384002457607</v>
      </c>
      <c r="L11" s="94">
        <f t="shared" si="1"/>
        <v>30.000240001600009</v>
      </c>
      <c r="M11" s="94">
        <f t="shared" si="2"/>
        <v>203.69304142024757</v>
      </c>
      <c r="N11" s="94">
        <f t="shared" si="3"/>
        <v>8825.003619598916</v>
      </c>
      <c r="O11" s="94">
        <f t="shared" si="7"/>
        <v>1.6295399859139068</v>
      </c>
      <c r="P11" s="94">
        <f t="shared" si="4"/>
        <v>2.665795777757535</v>
      </c>
      <c r="Q11" s="94">
        <f t="shared" si="8"/>
        <v>9.5968647999271255</v>
      </c>
      <c r="R11" s="94">
        <f t="shared" si="9"/>
        <v>8.7460494194980303</v>
      </c>
      <c r="S11" s="128">
        <f t="shared" si="5"/>
        <v>71068.62000000001</v>
      </c>
      <c r="T11" s="135"/>
    </row>
    <row r="12" spans="1:20" x14ac:dyDescent="0.25">
      <c r="A12" s="9"/>
      <c r="B12" s="60" t="s">
        <v>189</v>
      </c>
      <c r="C12" s="124">
        <f>VLOOKUP('User input &amp; design output'!D16,F3:G4,2,FALSE)</f>
        <v>1</v>
      </c>
      <c r="D12" s="83"/>
      <c r="E12" s="10"/>
      <c r="F12" s="10"/>
      <c r="G12" s="10"/>
      <c r="H12" s="13"/>
      <c r="I12" s="145">
        <v>4.4999999999999997E-3</v>
      </c>
      <c r="J12" s="94">
        <f t="shared" si="6"/>
        <v>2.5434000000000001</v>
      </c>
      <c r="K12" s="94">
        <f t="shared" si="0"/>
        <v>0.81000546754428704</v>
      </c>
      <c r="L12" s="94">
        <f t="shared" si="1"/>
        <v>30.00030375256291</v>
      </c>
      <c r="M12" s="94">
        <f t="shared" si="2"/>
        <v>204.6740138244628</v>
      </c>
      <c r="N12" s="94">
        <f t="shared" si="3"/>
        <v>8867.5042615332932</v>
      </c>
      <c r="O12" s="94">
        <f t="shared" si="7"/>
        <v>1.84205990745329</v>
      </c>
      <c r="P12" s="94">
        <f t="shared" si="4"/>
        <v>2.8343027620743029</v>
      </c>
      <c r="Q12" s="94">
        <f t="shared" si="8"/>
        <v>10.20348994346749</v>
      </c>
      <c r="R12" s="94">
        <f t="shared" si="9"/>
        <v>9.2988938739238556</v>
      </c>
      <c r="S12" s="128">
        <f t="shared" si="5"/>
        <v>71068.62000000001</v>
      </c>
      <c r="T12" s="135"/>
    </row>
    <row r="13" spans="1:20" x14ac:dyDescent="0.25">
      <c r="A13" s="9"/>
      <c r="B13" s="60" t="s">
        <v>182</v>
      </c>
      <c r="C13" s="124">
        <f>VLOOKUP('User input &amp; design output'!D17,F7:G9,2,FALSE)</f>
        <v>55000</v>
      </c>
      <c r="D13" s="83"/>
      <c r="E13" s="10"/>
      <c r="F13" s="10"/>
      <c r="G13" s="10"/>
      <c r="H13" s="13"/>
      <c r="I13" s="145">
        <v>5.0000000000000001E-3</v>
      </c>
      <c r="J13" s="94">
        <f t="shared" si="6"/>
        <v>2.8260000000000001</v>
      </c>
      <c r="K13" s="94">
        <f t="shared" si="0"/>
        <v>0.90000750007500074</v>
      </c>
      <c r="L13" s="94">
        <f t="shared" si="1"/>
        <v>30.000375003906289</v>
      </c>
      <c r="M13" s="94">
        <f t="shared" si="2"/>
        <v>205.77039885828989</v>
      </c>
      <c r="N13" s="94">
        <f t="shared" si="3"/>
        <v>8915.0051571188033</v>
      </c>
      <c r="O13" s="94">
        <f t="shared" si="7"/>
        <v>2.057695414826997</v>
      </c>
      <c r="P13" s="94">
        <f t="shared" si="4"/>
        <v>2.995607503998043</v>
      </c>
      <c r="Q13" s="94">
        <f t="shared" si="8"/>
        <v>10.784187014392954</v>
      </c>
      <c r="R13" s="94">
        <f t="shared" si="9"/>
        <v>9.8281089234169396</v>
      </c>
      <c r="S13" s="128">
        <f t="shared" si="5"/>
        <v>71068.62000000001</v>
      </c>
      <c r="T13" s="135"/>
    </row>
    <row r="14" spans="1:20" x14ac:dyDescent="0.25">
      <c r="A14" s="9"/>
      <c r="B14" s="60" t="s">
        <v>216</v>
      </c>
      <c r="C14" s="124">
        <f>(C13*0.15*'User input &amp; design output'!D13*0.0254*3.14/4)*((('User input &amp; design output'!D15*0.3048)^4)/36)*C12</f>
        <v>19.166858694666132</v>
      </c>
      <c r="D14" s="121" t="s">
        <v>199</v>
      </c>
      <c r="E14" s="10"/>
      <c r="F14" s="10"/>
      <c r="G14" s="10"/>
      <c r="H14" s="13"/>
      <c r="I14" s="145">
        <v>5.4999999999999997E-3</v>
      </c>
      <c r="J14" s="94">
        <f t="shared" si="6"/>
        <v>3.1086</v>
      </c>
      <c r="K14" s="94">
        <f t="shared" si="0"/>
        <v>0.99000998262078954</v>
      </c>
      <c r="L14" s="94">
        <f t="shared" si="1"/>
        <v>30.00045375571921</v>
      </c>
      <c r="M14" s="94">
        <f t="shared" si="2"/>
        <v>206.98219789224632</v>
      </c>
      <c r="N14" s="94">
        <f t="shared" si="3"/>
        <v>8967.5063657331339</v>
      </c>
      <c r="O14" s="94">
        <f t="shared" si="7"/>
        <v>2.2767926979443462</v>
      </c>
      <c r="P14" s="94">
        <f t="shared" si="4"/>
        <v>3.1510559158502507</v>
      </c>
      <c r="Q14" s="94">
        <f t="shared" si="8"/>
        <v>11.343801297060901</v>
      </c>
      <c r="R14" s="94">
        <f t="shared" si="9"/>
        <v>10.338110290958136</v>
      </c>
      <c r="S14" s="128">
        <f t="shared" si="5"/>
        <v>71068.62000000001</v>
      </c>
      <c r="T14" s="135"/>
    </row>
    <row r="15" spans="1:20" x14ac:dyDescent="0.25">
      <c r="A15" s="9"/>
      <c r="B15" s="60" t="s">
        <v>200</v>
      </c>
      <c r="C15" s="124">
        <f>((('User input &amp; design output'!D18*5)/18)^2)*0.5*1.225*C11</f>
        <v>3852.8004557291683</v>
      </c>
      <c r="D15" s="121" t="s">
        <v>201</v>
      </c>
      <c r="E15" s="10"/>
      <c r="F15" s="10"/>
      <c r="G15" s="10"/>
      <c r="H15" s="13"/>
      <c r="I15" s="145">
        <v>6.0000000000000001E-3</v>
      </c>
      <c r="J15" s="94">
        <f t="shared" si="6"/>
        <v>3.3912000000000004</v>
      </c>
      <c r="K15" s="94">
        <f t="shared" si="0"/>
        <v>1.0800129601866266</v>
      </c>
      <c r="L15" s="94">
        <f t="shared" si="1"/>
        <v>30.000540008100117</v>
      </c>
      <c r="M15" s="94">
        <f t="shared" si="2"/>
        <v>208.30941244111744</v>
      </c>
      <c r="N15" s="94">
        <f t="shared" si="3"/>
        <v>9025.0079530043804</v>
      </c>
      <c r="O15" s="94">
        <f t="shared" si="7"/>
        <v>2.4996979510427102</v>
      </c>
      <c r="P15" s="94">
        <f t="shared" si="4"/>
        <v>3.3017039706454736</v>
      </c>
      <c r="Q15" s="94">
        <f t="shared" si="8"/>
        <v>11.886134294323705</v>
      </c>
      <c r="R15" s="94">
        <f t="shared" si="9"/>
        <v>10.832362455052495</v>
      </c>
      <c r="S15" s="128">
        <f t="shared" si="5"/>
        <v>71068.62000000001</v>
      </c>
      <c r="T15" s="135"/>
    </row>
    <row r="16" spans="1:20" x14ac:dyDescent="0.25">
      <c r="A16" s="9"/>
      <c r="B16" s="60" t="s">
        <v>202</v>
      </c>
      <c r="C16" s="124">
        <f>((C15*((0.667*'User input &amp; design output'!D15)+(3.2+(0.5*('User input &amp; design output'!D14-'User input &amp; design output'!D15)))))/1000)*0.3048</f>
        <v>12.566543627875788</v>
      </c>
      <c r="D16" s="121"/>
      <c r="E16" s="10"/>
      <c r="F16" s="10"/>
      <c r="G16" s="10"/>
      <c r="H16" s="13"/>
      <c r="I16" s="145">
        <v>6.4999999999999997E-3</v>
      </c>
      <c r="J16" s="94">
        <f t="shared" si="6"/>
        <v>3.6738</v>
      </c>
      <c r="K16" s="94">
        <f t="shared" si="0"/>
        <v>1.1700164777784745</v>
      </c>
      <c r="L16" s="94">
        <f t="shared" si="1"/>
        <v>30.000633761156831</v>
      </c>
      <c r="M16" s="94">
        <f t="shared" si="2"/>
        <v>209.75204416401121</v>
      </c>
      <c r="N16" s="94">
        <f t="shared" si="3"/>
        <v>9087.5099908134162</v>
      </c>
      <c r="O16" s="94">
        <f t="shared" si="7"/>
        <v>2.7267573731209982</v>
      </c>
      <c r="P16" s="94">
        <f t="shared" si="4"/>
        <v>3.4483998138145004</v>
      </c>
      <c r="Q16" s="94">
        <f t="shared" si="8"/>
        <v>12.414239329732203</v>
      </c>
      <c r="R16" s="94">
        <f t="shared" si="9"/>
        <v>11.313648045155166</v>
      </c>
      <c r="S16" s="128">
        <f t="shared" si="5"/>
        <v>71068.62000000001</v>
      </c>
      <c r="T16" s="135"/>
    </row>
    <row r="17" spans="1:20" x14ac:dyDescent="0.25">
      <c r="A17" s="9"/>
      <c r="B17" s="60" t="s">
        <v>204</v>
      </c>
      <c r="C17" s="124">
        <f>((('User input &amp; design output'!D12/'User input &amp; design output'!D10)*((('User input &amp; design output'!D14-'User input &amp; design output'!D15)/2)+(0.667*'User input &amp; design output'!D15))*60)/1000)*0.3048</f>
        <v>2.0576743199999998</v>
      </c>
      <c r="D17" s="121"/>
      <c r="E17" s="10"/>
      <c r="F17" s="10"/>
      <c r="G17" s="10"/>
      <c r="H17" s="13"/>
      <c r="I17" s="145">
        <v>7.0000000000000001E-3</v>
      </c>
      <c r="J17" s="94">
        <f t="shared" si="6"/>
        <v>3.9564000000000004</v>
      </c>
      <c r="K17" s="94">
        <f t="shared" si="0"/>
        <v>1.2600205804033762</v>
      </c>
      <c r="L17" s="94">
        <f t="shared" si="1"/>
        <v>30.000735015006548</v>
      </c>
      <c r="M17" s="94">
        <f t="shared" si="2"/>
        <v>211.31009486430338</v>
      </c>
      <c r="N17" s="94">
        <f t="shared" si="3"/>
        <v>9155.0125572915185</v>
      </c>
      <c r="O17" s="94">
        <f t="shared" si="7"/>
        <v>2.9583171683719258</v>
      </c>
      <c r="P17" s="94">
        <f t="shared" si="4"/>
        <v>3.5918379263139641</v>
      </c>
      <c r="Q17" s="94">
        <f t="shared" si="8"/>
        <v>12.93061653473027</v>
      </c>
      <c r="R17" s="94">
        <f t="shared" si="9"/>
        <v>11.784245542167906</v>
      </c>
      <c r="S17" s="128">
        <f t="shared" si="5"/>
        <v>71068.62000000001</v>
      </c>
      <c r="T17" s="135"/>
    </row>
    <row r="18" spans="1:20" x14ac:dyDescent="0.25">
      <c r="A18" s="9"/>
      <c r="B18" s="60" t="s">
        <v>203</v>
      </c>
      <c r="C18" s="124">
        <f>C16+C17</f>
        <v>14.624217947875788</v>
      </c>
      <c r="D18" s="121"/>
      <c r="E18" s="10"/>
      <c r="F18" s="10"/>
      <c r="G18" s="10"/>
      <c r="H18" s="13"/>
      <c r="I18" s="145">
        <v>7.4999999999999997E-3</v>
      </c>
      <c r="J18" s="94">
        <f t="shared" si="6"/>
        <v>4.2389999999999999</v>
      </c>
      <c r="K18" s="94">
        <f t="shared" si="0"/>
        <v>1.3500253130695441</v>
      </c>
      <c r="L18" s="94">
        <f t="shared" si="1"/>
        <v>30.000843769775841</v>
      </c>
      <c r="M18" s="94">
        <f t="shared" si="2"/>
        <v>212.98356648963764</v>
      </c>
      <c r="N18" s="94">
        <f t="shared" si="3"/>
        <v>9227.5157368203745</v>
      </c>
      <c r="O18" s="94">
        <f t="shared" si="7"/>
        <v>3.1947235466147634</v>
      </c>
      <c r="P18" s="94">
        <f t="shared" si="4"/>
        <v>3.7325961714283169</v>
      </c>
      <c r="Q18" s="94">
        <f t="shared" si="8"/>
        <v>13.43734621714194</v>
      </c>
      <c r="R18" s="94">
        <f t="shared" si="9"/>
        <v>12.246050823068879</v>
      </c>
      <c r="S18" s="128">
        <f t="shared" si="5"/>
        <v>71068.62000000001</v>
      </c>
      <c r="T18" s="135"/>
    </row>
    <row r="19" spans="1:20" x14ac:dyDescent="0.25">
      <c r="A19" s="9"/>
      <c r="B19" s="60" t="s">
        <v>205</v>
      </c>
      <c r="C19" s="124">
        <f>((C7*(0.0254*'User input &amp; design output'!D13)^4)/(('User input &amp; design output'!D12/'User input &amp; design output'!D10)*C6*((0.0254*'User input &amp; design output'!D20))^4))^-1</f>
        <v>0.4304895078502417</v>
      </c>
      <c r="D19" s="121" t="s">
        <v>244</v>
      </c>
      <c r="E19" s="10"/>
      <c r="F19" s="10"/>
      <c r="G19" s="10"/>
      <c r="H19" s="13"/>
      <c r="I19" s="145">
        <v>8.0000000000000002E-3</v>
      </c>
      <c r="J19" s="94">
        <f t="shared" si="6"/>
        <v>4.5216000000000003</v>
      </c>
      <c r="K19" s="94">
        <f t="shared" si="0"/>
        <v>1.4400307207864524</v>
      </c>
      <c r="L19" s="94">
        <f t="shared" si="1"/>
        <v>30.000960025600666</v>
      </c>
      <c r="M19" s="94">
        <f t="shared" si="2"/>
        <v>214.77246113203489</v>
      </c>
      <c r="N19" s="94">
        <f t="shared" si="3"/>
        <v>9305.0196200368173</v>
      </c>
      <c r="O19" s="94">
        <f t="shared" si="7"/>
        <v>3.4363227237298193</v>
      </c>
      <c r="P19" s="94">
        <f t="shared" si="4"/>
        <v>3.8711619189489781</v>
      </c>
      <c r="Q19" s="94">
        <f t="shared" si="8"/>
        <v>13.936182908216322</v>
      </c>
      <c r="R19" s="94">
        <f t="shared" si="9"/>
        <v>12.700662870164566</v>
      </c>
      <c r="S19" s="128">
        <f t="shared" si="5"/>
        <v>71068.62000000001</v>
      </c>
      <c r="T19" s="135"/>
    </row>
    <row r="20" spans="1:20" x14ac:dyDescent="0.25">
      <c r="A20" s="9"/>
      <c r="B20" s="60" t="s">
        <v>206</v>
      </c>
      <c r="C20" s="124">
        <f>(((C18*0.5*'User input &amp; design output'!D13*0.0254)/(3.14*('User input &amp; design output'!D13*0.0254)^4/64))/1000)*(1/(1+C19))</f>
        <v>29.434279079938324</v>
      </c>
      <c r="D20" s="121" t="s">
        <v>207</v>
      </c>
      <c r="E20" s="10"/>
      <c r="F20" s="10"/>
      <c r="G20" s="10"/>
      <c r="H20" s="13"/>
      <c r="I20" s="145">
        <v>8.5000000000000006E-3</v>
      </c>
      <c r="J20" s="94">
        <f t="shared" si="6"/>
        <v>4.8042000000000007</v>
      </c>
      <c r="K20" s="94">
        <f t="shared" si="0"/>
        <v>1.5300368485649236</v>
      </c>
      <c r="L20" s="94">
        <f t="shared" si="1"/>
        <v>30.001083782626349</v>
      </c>
      <c r="M20" s="94">
        <f t="shared" si="2"/>
        <v>216.67678102772916</v>
      </c>
      <c r="N20" s="94">
        <f t="shared" si="3"/>
        <v>9387.524303825714</v>
      </c>
      <c r="O20" s="94">
        <f t="shared" si="7"/>
        <v>3.6834609220889134</v>
      </c>
      <c r="P20" s="94">
        <f t="shared" si="4"/>
        <v>4.0079509534347251</v>
      </c>
      <c r="Q20" s="94">
        <f t="shared" si="8"/>
        <v>14.42862343236501</v>
      </c>
      <c r="R20" s="94">
        <f t="shared" si="9"/>
        <v>13.149445806066783</v>
      </c>
      <c r="S20" s="128">
        <f t="shared" si="5"/>
        <v>71068.62000000001</v>
      </c>
      <c r="T20" s="135"/>
    </row>
    <row r="21" spans="1:20" x14ac:dyDescent="0.25">
      <c r="A21" s="9"/>
      <c r="B21" s="60" t="s">
        <v>208</v>
      </c>
      <c r="C21" s="124">
        <f>C14/C18</f>
        <v>1.310624524537408</v>
      </c>
      <c r="D21" s="83"/>
      <c r="E21" s="10"/>
      <c r="F21" s="10"/>
      <c r="G21" s="10"/>
      <c r="H21" s="13"/>
      <c r="I21" s="145">
        <v>8.9999999999999993E-3</v>
      </c>
      <c r="J21" s="94">
        <f t="shared" si="6"/>
        <v>5.0868000000000002</v>
      </c>
      <c r="K21" s="94">
        <f t="shared" si="0"/>
        <v>1.6200437414172224</v>
      </c>
      <c r="L21" s="94">
        <f t="shared" si="1"/>
        <v>30.001215041007601</v>
      </c>
      <c r="M21" s="94">
        <f t="shared" si="2"/>
        <v>218.69652855733182</v>
      </c>
      <c r="N21" s="94">
        <f t="shared" si="3"/>
        <v>9475.0298913270817</v>
      </c>
      <c r="O21" s="94">
        <f t="shared" si="7"/>
        <v>3.9364843709907631</v>
      </c>
      <c r="P21" s="94">
        <f t="shared" si="4"/>
        <v>4.1433214721253728</v>
      </c>
      <c r="Q21" s="94">
        <f t="shared" si="8"/>
        <v>14.915957299651343</v>
      </c>
      <c r="R21" s="94">
        <f t="shared" si="9"/>
        <v>13.593574818607808</v>
      </c>
      <c r="S21" s="128">
        <f t="shared" si="5"/>
        <v>71068.62000000001</v>
      </c>
      <c r="T21" s="135"/>
    </row>
    <row r="22" spans="1:20" x14ac:dyDescent="0.25">
      <c r="A22" s="9"/>
      <c r="B22" s="60" t="s">
        <v>209</v>
      </c>
      <c r="C22" s="124">
        <f>C8/C20</f>
        <v>1.0338286158583152</v>
      </c>
      <c r="D22" s="83"/>
      <c r="E22" s="10"/>
      <c r="F22" s="10"/>
      <c r="G22" s="10"/>
      <c r="H22" s="13"/>
      <c r="I22" s="145">
        <v>9.4999999999999998E-3</v>
      </c>
      <c r="J22" s="94">
        <f t="shared" si="6"/>
        <v>5.3694000000000006</v>
      </c>
      <c r="K22" s="94">
        <f t="shared" si="0"/>
        <v>1.7100514443571422</v>
      </c>
      <c r="L22" s="94">
        <f t="shared" si="1"/>
        <v>30.001353800908511</v>
      </c>
      <c r="M22" s="94">
        <f t="shared" si="2"/>
        <v>220.83170624577667</v>
      </c>
      <c r="N22" s="94">
        <f t="shared" si="3"/>
        <v>9567.5364919337135</v>
      </c>
      <c r="O22" s="94">
        <f t="shared" si="7"/>
        <v>4.1957393070931674</v>
      </c>
      <c r="P22" s="94">
        <f t="shared" si="4"/>
        <v>4.2775846547655272</v>
      </c>
      <c r="Q22" s="94">
        <f t="shared" si="8"/>
        <v>15.3993047571559</v>
      </c>
      <c r="R22" s="94">
        <f t="shared" si="9"/>
        <v>14.034070838740933</v>
      </c>
      <c r="S22" s="128">
        <f t="shared" si="5"/>
        <v>71068.62000000001</v>
      </c>
      <c r="T22" s="135"/>
    </row>
    <row r="23" spans="1:20" x14ac:dyDescent="0.25">
      <c r="A23" s="9"/>
      <c r="B23" s="60"/>
      <c r="C23" s="120"/>
      <c r="D23" s="83"/>
      <c r="E23" s="10"/>
      <c r="F23" s="10"/>
      <c r="G23" s="10"/>
      <c r="H23" s="13"/>
      <c r="I23" s="145">
        <v>0.01</v>
      </c>
      <c r="J23" s="94">
        <f t="shared" si="6"/>
        <v>5.6520000000000001</v>
      </c>
      <c r="K23" s="94">
        <f t="shared" si="0"/>
        <v>1.8000600024000974</v>
      </c>
      <c r="L23" s="94">
        <f t="shared" si="1"/>
        <v>30.001500062502544</v>
      </c>
      <c r="M23" s="94">
        <f t="shared" si="2"/>
        <v>223.08231676226546</v>
      </c>
      <c r="N23" s="94">
        <f t="shared" si="3"/>
        <v>9665.0442212888047</v>
      </c>
      <c r="O23" s="94">
        <f t="shared" si="7"/>
        <v>4.4615719748448583</v>
      </c>
      <c r="P23" s="94">
        <f t="shared" si="4"/>
        <v>4.4110127860050543</v>
      </c>
      <c r="Q23" s="94">
        <f t="shared" si="8"/>
        <v>15.879646029618195</v>
      </c>
      <c r="R23" s="94">
        <f t="shared" si="9"/>
        <v>14.471827188836823</v>
      </c>
      <c r="S23" s="128">
        <f t="shared" si="5"/>
        <v>71068.62000000001</v>
      </c>
      <c r="T23" s="135"/>
    </row>
    <row r="24" spans="1:20" x14ac:dyDescent="0.25">
      <c r="A24" s="9"/>
      <c r="B24" s="116" t="s">
        <v>210</v>
      </c>
      <c r="C24" s="120"/>
      <c r="D24" s="83"/>
      <c r="E24" s="10"/>
      <c r="F24" s="10"/>
      <c r="G24" s="10"/>
      <c r="H24" s="13"/>
      <c r="I24" s="145">
        <v>1.0500000000000001E-2</v>
      </c>
      <c r="J24" s="94">
        <f t="shared" si="6"/>
        <v>5.9346000000000005</v>
      </c>
      <c r="K24" s="94">
        <f t="shared" si="0"/>
        <v>1.8900694605632125</v>
      </c>
      <c r="L24" s="94">
        <f t="shared" si="1"/>
        <v>30.001653825972546</v>
      </c>
      <c r="M24" s="94">
        <f t="shared" si="2"/>
        <v>225.44836292037712</v>
      </c>
      <c r="N24" s="94">
        <f t="shared" si="3"/>
        <v>9767.5532012907006</v>
      </c>
      <c r="O24" s="94">
        <f t="shared" si="7"/>
        <v>4.7343286269204361</v>
      </c>
      <c r="P24" s="94">
        <f t="shared" si="4"/>
        <v>4.5438455956736439</v>
      </c>
      <c r="Q24" s="94">
        <f t="shared" si="8"/>
        <v>16.357844144425115</v>
      </c>
      <c r="R24" s="94">
        <f t="shared" si="9"/>
        <v>14.907630384109918</v>
      </c>
      <c r="S24" s="128">
        <f t="shared" si="5"/>
        <v>71068.62000000001</v>
      </c>
      <c r="T24" s="135"/>
    </row>
    <row r="25" spans="1:20" x14ac:dyDescent="0.25">
      <c r="A25" s="9"/>
      <c r="B25" s="60" t="s">
        <v>211</v>
      </c>
      <c r="C25" s="94" t="str">
        <f>IF(C26&gt;C27,"Pass","Fail")</f>
        <v>Pass</v>
      </c>
      <c r="D25" s="83"/>
      <c r="E25" s="10"/>
      <c r="F25" s="10"/>
      <c r="G25" s="10"/>
      <c r="H25" s="13"/>
      <c r="I25" s="145">
        <v>1.0999999999999999E-2</v>
      </c>
      <c r="J25" s="94">
        <f t="shared" si="6"/>
        <v>6.2172000000000001</v>
      </c>
      <c r="K25" s="94">
        <f t="shared" si="0"/>
        <v>1.9800798638654133</v>
      </c>
      <c r="L25" s="94">
        <f t="shared" si="1"/>
        <v>30.001815091510753</v>
      </c>
      <c r="M25" s="94">
        <f t="shared" si="2"/>
        <v>227.92984767812246</v>
      </c>
      <c r="N25" s="94">
        <f t="shared" si="3"/>
        <v>9875.0635600952555</v>
      </c>
      <c r="O25" s="94">
        <f t="shared" si="7"/>
        <v>5.0143555246547447</v>
      </c>
      <c r="P25" s="94">
        <f t="shared" si="4"/>
        <v>4.6762952783827823</v>
      </c>
      <c r="Q25" s="94">
        <f t="shared" si="8"/>
        <v>16.834663002178019</v>
      </c>
      <c r="R25" s="94">
        <f t="shared" si="9"/>
        <v>15.342176601129367</v>
      </c>
      <c r="S25" s="128">
        <f t="shared" si="5"/>
        <v>71068.62000000001</v>
      </c>
      <c r="T25" s="135"/>
    </row>
    <row r="26" spans="1:20" x14ac:dyDescent="0.25">
      <c r="A26" s="9"/>
      <c r="B26" s="60" t="s">
        <v>212</v>
      </c>
      <c r="C26" s="94">
        <f>TRUNC(C21,2)</f>
        <v>1.31</v>
      </c>
      <c r="D26" s="83"/>
      <c r="E26" s="10"/>
      <c r="F26" s="10"/>
      <c r="G26" s="10"/>
      <c r="H26" s="13"/>
      <c r="I26" s="145">
        <v>1.15E-2</v>
      </c>
      <c r="J26" s="94">
        <f t="shared" si="6"/>
        <v>6.4998000000000005</v>
      </c>
      <c r="K26" s="94">
        <f t="shared" si="0"/>
        <v>2.0700912573275154</v>
      </c>
      <c r="L26" s="94">
        <f t="shared" si="1"/>
        <v>30.00198385931877</v>
      </c>
      <c r="M26" s="94">
        <f t="shared" si="2"/>
        <v>230.52677413772548</v>
      </c>
      <c r="N26" s="94">
        <f t="shared" si="3"/>
        <v>9987.5754321063669</v>
      </c>
      <c r="O26" s="94">
        <f t="shared" si="7"/>
        <v>5.3019989384712645</v>
      </c>
      <c r="P26" s="94">
        <f t="shared" si="4"/>
        <v>4.8085505188896924</v>
      </c>
      <c r="Q26" s="94">
        <f t="shared" si="8"/>
        <v>17.310781868002891</v>
      </c>
      <c r="R26" s="94">
        <f t="shared" si="9"/>
        <v>15.776084884394058</v>
      </c>
      <c r="S26" s="128">
        <f t="shared" si="5"/>
        <v>71068.62000000001</v>
      </c>
      <c r="T26" s="135"/>
    </row>
    <row r="27" spans="1:20" x14ac:dyDescent="0.25">
      <c r="A27" s="9"/>
      <c r="B27" s="60" t="s">
        <v>226</v>
      </c>
      <c r="C27" s="94">
        <v>1</v>
      </c>
      <c r="D27" s="83"/>
      <c r="E27" s="10"/>
      <c r="F27" s="10"/>
      <c r="G27" s="10"/>
      <c r="H27" s="13"/>
      <c r="I27" s="145">
        <v>1.2E-2</v>
      </c>
      <c r="J27" s="94">
        <f t="shared" si="6"/>
        <v>6.7824000000000009</v>
      </c>
      <c r="K27" s="94">
        <f t="shared" si="0"/>
        <v>2.1601036859723162</v>
      </c>
      <c r="L27" s="94">
        <f t="shared" si="1"/>
        <v>30.002160129607589</v>
      </c>
      <c r="M27" s="94">
        <f t="shared" si="2"/>
        <v>233.23914554584212</v>
      </c>
      <c r="N27" s="94">
        <f t="shared" si="3"/>
        <v>10105.088957985443</v>
      </c>
      <c r="O27" s="94">
        <f t="shared" si="7"/>
        <v>5.5976051483196629</v>
      </c>
      <c r="P27" s="94">
        <f t="shared" si="4"/>
        <v>4.9407797582610069</v>
      </c>
      <c r="Q27" s="94">
        <f t="shared" si="8"/>
        <v>17.786807129739625</v>
      </c>
      <c r="R27" s="94">
        <f t="shared" si="9"/>
        <v>16.209907862093043</v>
      </c>
      <c r="S27" s="128">
        <f t="shared" si="5"/>
        <v>71068.62000000001</v>
      </c>
      <c r="T27" s="135"/>
    </row>
    <row r="28" spans="1:20" x14ac:dyDescent="0.25">
      <c r="A28" s="9"/>
      <c r="B28" s="60"/>
      <c r="C28" s="78"/>
      <c r="D28" s="83"/>
      <c r="E28" s="10"/>
      <c r="F28" s="10"/>
      <c r="G28" s="10"/>
      <c r="H28" s="13"/>
      <c r="I28" s="145">
        <v>1.2500000000000001E-2</v>
      </c>
      <c r="J28" s="94">
        <f t="shared" si="6"/>
        <v>7.0650000000000013</v>
      </c>
      <c r="K28" s="94">
        <f t="shared" si="0"/>
        <v>2.2501171948246821</v>
      </c>
      <c r="L28" s="94">
        <f t="shared" si="1"/>
        <v>30.002343902597588</v>
      </c>
      <c r="M28" s="94">
        <f t="shared" si="2"/>
        <v>236.06696529356017</v>
      </c>
      <c r="N28" s="94">
        <f t="shared" si="3"/>
        <v>10227.604284651406</v>
      </c>
      <c r="O28" s="94">
        <f t="shared" si="7"/>
        <v>5.9015204441091687</v>
      </c>
      <c r="P28" s="94">
        <f t="shared" si="4"/>
        <v>5.073133872754819</v>
      </c>
      <c r="Q28" s="94">
        <f t="shared" si="8"/>
        <v>18.263281941917345</v>
      </c>
      <c r="R28" s="94">
        <f t="shared" si="9"/>
        <v>16.644140535088919</v>
      </c>
      <c r="S28" s="128">
        <f t="shared" si="5"/>
        <v>71068.62000000001</v>
      </c>
      <c r="T28" s="135"/>
    </row>
    <row r="29" spans="1:20" x14ac:dyDescent="0.25">
      <c r="A29" s="9"/>
      <c r="B29" s="116" t="s">
        <v>213</v>
      </c>
      <c r="C29" s="78"/>
      <c r="D29" s="83"/>
      <c r="E29" s="10"/>
      <c r="F29" s="10"/>
      <c r="G29" s="10"/>
      <c r="H29" s="13"/>
      <c r="I29" s="145">
        <v>1.2999999999999999E-2</v>
      </c>
      <c r="J29" s="94">
        <f t="shared" si="6"/>
        <v>7.3475999999999999</v>
      </c>
      <c r="K29" s="94">
        <f t="shared" si="0"/>
        <v>2.340131828911642</v>
      </c>
      <c r="L29" s="94">
        <f t="shared" si="1"/>
        <v>30.002535178518517</v>
      </c>
      <c r="M29" s="94">
        <f t="shared" si="2"/>
        <v>239.01023691618059</v>
      </c>
      <c r="N29" s="94">
        <f t="shared" si="3"/>
        <v>10355.121565271214</v>
      </c>
      <c r="O29" s="94">
        <f t="shared" si="7"/>
        <v>6.2140911261362346</v>
      </c>
      <c r="P29" s="94">
        <f t="shared" si="4"/>
        <v>5.2057483930027084</v>
      </c>
      <c r="Q29" s="94">
        <f t="shared" si="8"/>
        <v>18.74069421480975</v>
      </c>
      <c r="R29" s="94">
        <f t="shared" si="9"/>
        <v>17.079227557699006</v>
      </c>
      <c r="S29" s="128">
        <f t="shared" si="5"/>
        <v>71068.62000000001</v>
      </c>
      <c r="T29" s="135"/>
    </row>
    <row r="30" spans="1:20" x14ac:dyDescent="0.25">
      <c r="A30" s="9"/>
      <c r="B30" s="60" t="s">
        <v>211</v>
      </c>
      <c r="C30" s="94" t="str">
        <f>IF(C31&gt;C32,"Pass","Fail")</f>
        <v>Pass</v>
      </c>
      <c r="D30" s="83"/>
      <c r="E30" s="10"/>
      <c r="F30" s="10"/>
      <c r="G30" s="10"/>
      <c r="H30" s="13"/>
      <c r="I30" s="145">
        <v>1.35E-2</v>
      </c>
      <c r="J30" s="94">
        <f t="shared" si="6"/>
        <v>7.6302000000000003</v>
      </c>
      <c r="K30" s="94">
        <f t="shared" si="0"/>
        <v>2.4301476332624743</v>
      </c>
      <c r="L30" s="94">
        <f t="shared" si="1"/>
        <v>30.002733957609529</v>
      </c>
      <c r="M30" s="94">
        <f t="shared" si="2"/>
        <v>242.0689640936549</v>
      </c>
      <c r="N30" s="94">
        <f t="shared" si="3"/>
        <v>10487.640959278815</v>
      </c>
      <c r="O30" s="94">
        <f t="shared" si="7"/>
        <v>6.5356635055285723</v>
      </c>
      <c r="P30" s="94">
        <f t="shared" si="4"/>
        <v>5.3387453594206136</v>
      </c>
      <c r="Q30" s="94">
        <f t="shared" si="8"/>
        <v>19.219483293914209</v>
      </c>
      <c r="R30" s="94">
        <f t="shared" si="9"/>
        <v>17.515569325001525</v>
      </c>
      <c r="S30" s="128">
        <f t="shared" si="5"/>
        <v>71068.62000000001</v>
      </c>
      <c r="T30" s="135"/>
    </row>
    <row r="31" spans="1:20" x14ac:dyDescent="0.25">
      <c r="A31" s="9"/>
      <c r="B31" s="76" t="s">
        <v>212</v>
      </c>
      <c r="C31" s="96">
        <f>TRUNC(C22,2)</f>
        <v>1.03</v>
      </c>
      <c r="D31" s="84"/>
      <c r="E31" s="10"/>
      <c r="F31" s="10"/>
      <c r="G31" s="10"/>
      <c r="H31" s="13"/>
      <c r="I31" s="145">
        <v>1.4E-2</v>
      </c>
      <c r="J31" s="94">
        <f t="shared" si="6"/>
        <v>7.9128000000000007</v>
      </c>
      <c r="K31" s="94">
        <f t="shared" si="0"/>
        <v>2.5201646529088002</v>
      </c>
      <c r="L31" s="94">
        <f t="shared" si="1"/>
        <v>30.002940240119138</v>
      </c>
      <c r="M31" s="94">
        <f t="shared" si="2"/>
        <v>245.24315065003859</v>
      </c>
      <c r="N31" s="94">
        <f t="shared" si="3"/>
        <v>10625.162632351461</v>
      </c>
      <c r="O31" s="94">
        <f t="shared" si="7"/>
        <v>6.8665839046642363</v>
      </c>
      <c r="P31" s="94">
        <f t="shared" si="4"/>
        <v>5.4722348868108162</v>
      </c>
      <c r="Q31" s="94">
        <f t="shared" si="8"/>
        <v>19.700045592518936</v>
      </c>
      <c r="R31" s="94">
        <f t="shared" si="9"/>
        <v>17.953527106044397</v>
      </c>
      <c r="S31" s="128">
        <f t="shared" si="5"/>
        <v>71068.62000000001</v>
      </c>
      <c r="T31" s="135"/>
    </row>
    <row r="32" spans="1:20" x14ac:dyDescent="0.25">
      <c r="A32" s="9"/>
      <c r="B32" s="76" t="s">
        <v>226</v>
      </c>
      <c r="C32" s="96">
        <v>1</v>
      </c>
      <c r="D32" s="84"/>
      <c r="E32" s="10"/>
      <c r="F32" s="10"/>
      <c r="G32" s="10"/>
      <c r="H32" s="13"/>
      <c r="I32" s="145">
        <v>1.4500000000000001E-2</v>
      </c>
      <c r="J32" s="94">
        <f t="shared" si="6"/>
        <v>8.1954000000000011</v>
      </c>
      <c r="K32" s="94">
        <f t="shared" si="0"/>
        <v>2.6101829328846708</v>
      </c>
      <c r="L32" s="94">
        <f t="shared" si="1"/>
        <v>30.003154026305264</v>
      </c>
      <c r="M32" s="94">
        <f t="shared" si="2"/>
        <v>248.5328005540922</v>
      </c>
      <c r="N32" s="94">
        <f t="shared" si="3"/>
        <v>10767.686756435754</v>
      </c>
      <c r="O32" s="94">
        <f t="shared" si="7"/>
        <v>7.2071986576206797</v>
      </c>
      <c r="P32" s="94">
        <f t="shared" si="4"/>
        <v>5.6063164943157631</v>
      </c>
      <c r="Q32" s="94">
        <f t="shared" si="8"/>
        <v>20.182739379536745</v>
      </c>
      <c r="R32" s="94">
        <f t="shared" si="9"/>
        <v>18.393427407210929</v>
      </c>
      <c r="S32" s="128">
        <f t="shared" si="5"/>
        <v>71068.62000000001</v>
      </c>
      <c r="T32" s="135"/>
    </row>
    <row r="33" spans="1:20" x14ac:dyDescent="0.25">
      <c r="A33" s="9"/>
      <c r="B33" s="60"/>
      <c r="C33" s="109"/>
      <c r="D33" s="83"/>
      <c r="E33" s="10"/>
      <c r="F33" s="10"/>
      <c r="G33" s="10"/>
      <c r="H33" s="13"/>
      <c r="I33" s="145">
        <v>1.4999999999999999E-2</v>
      </c>
      <c r="J33" s="94">
        <f t="shared" si="6"/>
        <v>8.4779999999999998</v>
      </c>
      <c r="K33" s="94">
        <f t="shared" si="0"/>
        <v>2.7002025182266598</v>
      </c>
      <c r="L33" s="94">
        <f t="shared" si="1"/>
        <v>30.003375316435204</v>
      </c>
      <c r="M33" s="94">
        <f t="shared" si="2"/>
        <v>251.93791791884433</v>
      </c>
      <c r="N33" s="94">
        <f t="shared" si="3"/>
        <v>10915.21350972871</v>
      </c>
      <c r="O33" s="94">
        <f t="shared" si="7"/>
        <v>7.5578541105962431</v>
      </c>
      <c r="P33" s="94">
        <f t="shared" si="4"/>
        <v>5.74108024432</v>
      </c>
      <c r="Q33" s="94">
        <f t="shared" si="8"/>
        <v>20.667888879551999</v>
      </c>
      <c r="R33" s="94">
        <f t="shared" si="9"/>
        <v>18.83556570877483</v>
      </c>
      <c r="S33" s="128">
        <f t="shared" si="5"/>
        <v>71068.62000000001</v>
      </c>
      <c r="T33" s="135"/>
    </row>
    <row r="34" spans="1:20" x14ac:dyDescent="0.25">
      <c r="A34" s="9"/>
      <c r="B34" s="116" t="s">
        <v>284</v>
      </c>
      <c r="C34" s="109"/>
      <c r="D34" s="83"/>
      <c r="E34" s="10"/>
      <c r="F34" s="10"/>
      <c r="G34" s="10"/>
      <c r="H34" s="13"/>
      <c r="I34" s="145">
        <v>1.55E-2</v>
      </c>
      <c r="J34" s="94">
        <f t="shared" si="6"/>
        <v>8.7606000000000002</v>
      </c>
      <c r="K34" s="94">
        <f t="shared" si="0"/>
        <v>2.7902234539739514</v>
      </c>
      <c r="L34" s="94">
        <f t="shared" si="1"/>
        <v>30.003604110785641</v>
      </c>
      <c r="M34" s="94">
        <f t="shared" si="2"/>
        <v>255.45850700181001</v>
      </c>
      <c r="N34" s="94">
        <f t="shared" si="3"/>
        <v>11067.743076687222</v>
      </c>
      <c r="O34" s="94">
        <f t="shared" si="7"/>
        <v>7.9188966223493136</v>
      </c>
      <c r="P34" s="94">
        <f t="shared" si="4"/>
        <v>5.8766077245312829</v>
      </c>
      <c r="Q34" s="94">
        <f t="shared" si="8"/>
        <v>21.155787808312617</v>
      </c>
      <c r="R34" s="94">
        <f t="shared" si="9"/>
        <v>19.280209686951213</v>
      </c>
      <c r="S34" s="128">
        <f t="shared" si="5"/>
        <v>71068.62000000001</v>
      </c>
      <c r="T34" s="135"/>
    </row>
    <row r="35" spans="1:20" x14ac:dyDescent="0.25">
      <c r="A35" s="9"/>
      <c r="B35" s="60" t="s">
        <v>249</v>
      </c>
      <c r="C35" s="111">
        <f>'User input &amp; design output'!D8</f>
        <v>3</v>
      </c>
      <c r="D35" s="83"/>
      <c r="E35" s="10"/>
      <c r="F35" s="10"/>
      <c r="G35" s="10"/>
      <c r="H35" s="13"/>
      <c r="I35" s="145">
        <v>1.6E-2</v>
      </c>
      <c r="J35" s="94">
        <f t="shared" si="6"/>
        <v>9.0432000000000006</v>
      </c>
      <c r="K35" s="94">
        <f t="shared" si="0"/>
        <v>2.880245785168432</v>
      </c>
      <c r="L35" s="94">
        <f t="shared" si="1"/>
        <v>30.003840409642645</v>
      </c>
      <c r="M35" s="94">
        <f t="shared" si="2"/>
        <v>259.0945722048815</v>
      </c>
      <c r="N35" s="94">
        <f t="shared" si="3"/>
        <v>11225.275648023327</v>
      </c>
      <c r="O35" s="94">
        <f t="shared" si="7"/>
        <v>8.2906725646282702</v>
      </c>
      <c r="P35" s="94">
        <f t="shared" si="4"/>
        <v>6.0129729002983927</v>
      </c>
      <c r="Q35" s="94">
        <f t="shared" si="8"/>
        <v>21.646702441074211</v>
      </c>
      <c r="R35" s="94">
        <f t="shared" si="9"/>
        <v>19.72760201021498</v>
      </c>
      <c r="S35" s="128">
        <f t="shared" si="5"/>
        <v>71068.62000000001</v>
      </c>
      <c r="T35" s="135"/>
    </row>
    <row r="36" spans="1:20" x14ac:dyDescent="0.25">
      <c r="A36" s="9"/>
      <c r="B36" s="60" t="s">
        <v>283</v>
      </c>
      <c r="C36" s="111">
        <f>'User input &amp; design output'!D12</f>
        <v>30</v>
      </c>
      <c r="D36" s="83" t="s">
        <v>75</v>
      </c>
      <c r="E36" s="10"/>
      <c r="F36" s="10"/>
      <c r="G36" s="10"/>
      <c r="H36" s="13"/>
      <c r="I36" s="145">
        <v>1.6500000000000001E-2</v>
      </c>
      <c r="J36" s="94">
        <f t="shared" si="6"/>
        <v>9.325800000000001</v>
      </c>
      <c r="K36" s="94">
        <f t="shared" si="0"/>
        <v>2.9702695568547801</v>
      </c>
      <c r="L36" s="94">
        <f t="shared" si="1"/>
        <v>30.004084213301685</v>
      </c>
      <c r="M36" s="94">
        <f t="shared" si="2"/>
        <v>262.84611807460158</v>
      </c>
      <c r="N36" s="94">
        <f t="shared" si="3"/>
        <v>11387.811420716052</v>
      </c>
      <c r="O36" s="94">
        <f t="shared" si="7"/>
        <v>8.6735283226133628</v>
      </c>
      <c r="P36" s="94">
        <f t="shared" si="4"/>
        <v>6.1502428587652025</v>
      </c>
      <c r="Q36" s="94">
        <f t="shared" si="8"/>
        <v>22.140874291554727</v>
      </c>
      <c r="R36" s="94">
        <f t="shared" si="9"/>
        <v>20.177962780751226</v>
      </c>
      <c r="S36" s="128">
        <f t="shared" si="5"/>
        <v>71068.62000000001</v>
      </c>
      <c r="T36" s="135"/>
    </row>
    <row r="37" spans="1:20" x14ac:dyDescent="0.25">
      <c r="A37" s="9"/>
      <c r="B37" s="60" t="s">
        <v>245</v>
      </c>
      <c r="C37" s="111">
        <v>200</v>
      </c>
      <c r="D37" s="83" t="s">
        <v>139</v>
      </c>
      <c r="E37" s="10"/>
      <c r="F37" s="10"/>
      <c r="G37" s="10"/>
      <c r="H37" s="13"/>
      <c r="I37" s="145">
        <v>1.7000000000000001E-2</v>
      </c>
      <c r="J37" s="94">
        <f t="shared" si="6"/>
        <v>9.6084000000000014</v>
      </c>
      <c r="K37" s="94">
        <f t="shared" si="0"/>
        <v>3.0602948140805548</v>
      </c>
      <c r="L37" s="94">
        <f t="shared" si="1"/>
        <v>30.004335522067606</v>
      </c>
      <c r="M37" s="94">
        <f t="shared" si="2"/>
        <v>266.71314930183564</v>
      </c>
      <c r="N37" s="94">
        <f t="shared" si="3"/>
        <v>11555.350597997198</v>
      </c>
      <c r="O37" s="94">
        <f t="shared" si="7"/>
        <v>9.0678102953397719</v>
      </c>
      <c r="P37" s="94">
        <f t="shared" si="4"/>
        <v>6.2884784622049521</v>
      </c>
      <c r="Q37" s="94">
        <f t="shared" si="8"/>
        <v>22.638522463937829</v>
      </c>
      <c r="R37" s="94">
        <f t="shared" si="9"/>
        <v>20.631491677940495</v>
      </c>
      <c r="S37" s="128">
        <f t="shared" si="5"/>
        <v>71068.62000000001</v>
      </c>
      <c r="T37" s="135"/>
    </row>
    <row r="38" spans="1:20" x14ac:dyDescent="0.25">
      <c r="A38" s="9"/>
      <c r="B38" s="60" t="s">
        <v>248</v>
      </c>
      <c r="C38" s="111">
        <v>9.9000000000000005E-2</v>
      </c>
      <c r="D38" s="83" t="s">
        <v>262</v>
      </c>
      <c r="E38" s="10"/>
      <c r="F38" s="10"/>
      <c r="G38" s="10"/>
      <c r="H38" s="13"/>
      <c r="I38" s="145">
        <v>1.7500000000000002E-2</v>
      </c>
      <c r="J38" s="94">
        <f t="shared" si="6"/>
        <v>9.8910000000000018</v>
      </c>
      <c r="K38" s="94">
        <f t="shared" si="0"/>
        <v>3.1503216018962905</v>
      </c>
      <c r="L38" s="94">
        <f t="shared" si="1"/>
        <v>30.004594336254652</v>
      </c>
      <c r="M38" s="94">
        <f t="shared" si="2"/>
        <v>270.69567072199033</v>
      </c>
      <c r="N38" s="94">
        <f t="shared" si="3"/>
        <v>11727.893389360819</v>
      </c>
      <c r="O38" s="94">
        <f t="shared" si="7"/>
        <v>9.4738648961377692</v>
      </c>
      <c r="P38" s="94">
        <f t="shared" si="4"/>
        <v>6.4277349245998003</v>
      </c>
      <c r="Q38" s="94">
        <f t="shared" si="8"/>
        <v>23.13984572855928</v>
      </c>
      <c r="R38" s="94">
        <f t="shared" si="9"/>
        <v>21.088369850024009</v>
      </c>
      <c r="S38" s="128">
        <f t="shared" si="5"/>
        <v>71068.62000000001</v>
      </c>
      <c r="T38" s="135"/>
    </row>
    <row r="39" spans="1:20" x14ac:dyDescent="0.25">
      <c r="A39" s="9"/>
      <c r="B39" s="60" t="s">
        <v>247</v>
      </c>
      <c r="C39" s="111">
        <f>3.14*C38^2/4*C35</f>
        <v>2.3081355000000001E-2</v>
      </c>
      <c r="D39" s="83" t="s">
        <v>271</v>
      </c>
      <c r="E39" s="10"/>
      <c r="F39" s="10"/>
      <c r="G39" s="10"/>
      <c r="H39" s="13"/>
      <c r="I39" s="145">
        <v>1.7999999999999999E-2</v>
      </c>
      <c r="J39" s="94">
        <f t="shared" si="6"/>
        <v>10.1736</v>
      </c>
      <c r="K39" s="94">
        <f t="shared" si="0"/>
        <v>3.2403499653555796</v>
      </c>
      <c r="L39" s="94">
        <f t="shared" si="1"/>
        <v>30.004860656186459</v>
      </c>
      <c r="M39" s="94">
        <f t="shared" si="2"/>
        <v>274.79368731506804</v>
      </c>
      <c r="N39" s="94">
        <f t="shared" si="3"/>
        <v>11905.440010565586</v>
      </c>
      <c r="O39" s="94">
        <f t="shared" si="7"/>
        <v>9.8920385530682626</v>
      </c>
      <c r="P39" s="94">
        <f t="shared" si="4"/>
        <v>6.5680623229133568</v>
      </c>
      <c r="Q39" s="94">
        <f t="shared" si="8"/>
        <v>23.645024362488087</v>
      </c>
      <c r="R39" s="94">
        <f t="shared" si="9"/>
        <v>21.548761591507056</v>
      </c>
      <c r="S39" s="128">
        <f t="shared" si="5"/>
        <v>71068.62000000001</v>
      </c>
      <c r="T39" s="135"/>
    </row>
    <row r="40" spans="1:20" x14ac:dyDescent="0.25">
      <c r="A40" s="9"/>
      <c r="B40" s="60" t="s">
        <v>246</v>
      </c>
      <c r="C40" s="111">
        <v>20000000</v>
      </c>
      <c r="D40" s="83" t="s">
        <v>264</v>
      </c>
      <c r="E40" s="10"/>
      <c r="F40" s="10"/>
      <c r="G40" s="10"/>
      <c r="H40" s="13"/>
      <c r="I40" s="145">
        <v>1.8499999999999999E-2</v>
      </c>
      <c r="J40" s="94">
        <f t="shared" si="6"/>
        <v>10.456200000000001</v>
      </c>
      <c r="K40" s="94">
        <f t="shared" si="0"/>
        <v>3.3303799495151729</v>
      </c>
      <c r="L40" s="94">
        <f t="shared" si="1"/>
        <v>30.005134482196048</v>
      </c>
      <c r="M40" s="94">
        <f t="shared" si="2"/>
        <v>279.00720420544843</v>
      </c>
      <c r="N40" s="94">
        <f t="shared" si="3"/>
        <v>12087.990683625309</v>
      </c>
      <c r="O40" s="94">
        <f t="shared" si="7"/>
        <v>10.322677709348538</v>
      </c>
      <c r="P40" s="94">
        <f t="shared" si="4"/>
        <v>6.7095060524559615</v>
      </c>
      <c r="Q40" s="94">
        <f t="shared" si="8"/>
        <v>24.154221788841465</v>
      </c>
      <c r="R40" s="94">
        <f t="shared" si="9"/>
        <v>22.012815837139616</v>
      </c>
      <c r="S40" s="128">
        <f t="shared" si="5"/>
        <v>71068.62000000001</v>
      </c>
      <c r="T40" s="135"/>
    </row>
    <row r="41" spans="1:20" x14ac:dyDescent="0.25">
      <c r="A41" s="9"/>
      <c r="B41" s="60" t="s">
        <v>252</v>
      </c>
      <c r="C41" s="111">
        <v>490</v>
      </c>
      <c r="D41" s="83" t="s">
        <v>274</v>
      </c>
      <c r="E41" s="10"/>
      <c r="F41" s="10"/>
      <c r="G41" s="10"/>
      <c r="H41" s="13"/>
      <c r="I41" s="145">
        <v>1.9E-2</v>
      </c>
      <c r="J41" s="94">
        <f t="shared" si="6"/>
        <v>10.738800000000001</v>
      </c>
      <c r="K41" s="94">
        <f t="shared" si="0"/>
        <v>3.4204115994350608</v>
      </c>
      <c r="L41" s="94">
        <f t="shared" si="1"/>
        <v>30.005415814625842</v>
      </c>
      <c r="M41" s="94">
        <f t="shared" si="2"/>
        <v>283.33622666216172</v>
      </c>
      <c r="N41" s="94">
        <f t="shared" si="3"/>
        <v>12275.545636820789</v>
      </c>
      <c r="O41" s="94">
        <f t="shared" si="7"/>
        <v>10.766128823795295</v>
      </c>
      <c r="P41" s="94">
        <f t="shared" si="4"/>
        <v>6.8521072341158407</v>
      </c>
      <c r="Q41" s="94">
        <f t="shared" si="8"/>
        <v>24.667586042817028</v>
      </c>
      <c r="R41" s="94">
        <f t="shared" si="9"/>
        <v>22.480667497976615</v>
      </c>
      <c r="S41" s="128">
        <f t="shared" si="5"/>
        <v>71068.62000000001</v>
      </c>
      <c r="T41" s="135"/>
    </row>
    <row r="42" spans="1:20" x14ac:dyDescent="0.25">
      <c r="A42" s="9"/>
      <c r="B42" s="60" t="s">
        <v>252</v>
      </c>
      <c r="C42" s="111">
        <f>C41*145.038</f>
        <v>71068.62000000001</v>
      </c>
      <c r="D42" s="83" t="s">
        <v>264</v>
      </c>
      <c r="E42" s="10"/>
      <c r="F42" s="10"/>
      <c r="G42" s="10"/>
      <c r="H42" s="13"/>
      <c r="I42" s="145">
        <v>1.95E-2</v>
      </c>
      <c r="J42" s="94">
        <f t="shared" si="6"/>
        <v>11.021400000000002</v>
      </c>
      <c r="K42" s="94">
        <f t="shared" si="0"/>
        <v>3.5104449601785657</v>
      </c>
      <c r="L42" s="94">
        <f t="shared" si="1"/>
        <v>30.005704653827653</v>
      </c>
      <c r="M42" s="94">
        <f t="shared" si="2"/>
        <v>287.78076009877941</v>
      </c>
      <c r="N42" s="94">
        <f t="shared" si="3"/>
        <v>12468.105104695083</v>
      </c>
      <c r="O42" s="94">
        <f t="shared" si="7"/>
        <v>11.222738371254424</v>
      </c>
      <c r="P42" s="94">
        <f t="shared" si="4"/>
        <v>6.9959030798969195</v>
      </c>
      <c r="Q42" s="94">
        <f t="shared" si="8"/>
        <v>25.18525108762891</v>
      </c>
      <c r="R42" s="94">
        <f t="shared" si="9"/>
        <v>22.952438660649008</v>
      </c>
      <c r="S42" s="128">
        <f t="shared" si="5"/>
        <v>71068.62000000001</v>
      </c>
      <c r="T42" s="135"/>
    </row>
    <row r="43" spans="1:20" x14ac:dyDescent="0.25">
      <c r="A43" s="9"/>
      <c r="B43" s="60" t="s">
        <v>251</v>
      </c>
      <c r="C43" s="111">
        <v>20</v>
      </c>
      <c r="D43" s="83" t="s">
        <v>273</v>
      </c>
      <c r="E43" s="10"/>
      <c r="F43" s="10"/>
      <c r="G43" s="10"/>
      <c r="H43" s="13"/>
      <c r="I43" s="145">
        <v>0.02</v>
      </c>
      <c r="J43" s="94">
        <f t="shared" si="6"/>
        <v>11.304</v>
      </c>
      <c r="K43" s="94">
        <f t="shared" si="0"/>
        <v>3.6004800768124361</v>
      </c>
      <c r="L43" s="94">
        <f t="shared" si="1"/>
        <v>30.006001000162694</v>
      </c>
      <c r="M43" s="94">
        <f t="shared" si="2"/>
        <v>292.34081007346879</v>
      </c>
      <c r="N43" s="94">
        <f t="shared" si="3"/>
        <v>12665.669328055861</v>
      </c>
      <c r="O43" s="94">
        <f t="shared" si="7"/>
        <v>11.692852843036585</v>
      </c>
      <c r="P43" s="94">
        <f t="shared" si="4"/>
        <v>7.1409272221617703</v>
      </c>
      <c r="Q43" s="94">
        <f t="shared" si="8"/>
        <v>25.707337999782371</v>
      </c>
      <c r="R43" s="94">
        <f t="shared" si="9"/>
        <v>23.428239667557222</v>
      </c>
      <c r="S43" s="128">
        <f t="shared" si="5"/>
        <v>71068.62000000001</v>
      </c>
      <c r="T43" s="135"/>
    </row>
    <row r="44" spans="1:20" x14ac:dyDescent="0.25">
      <c r="A44" s="9"/>
      <c r="B44" s="60" t="s">
        <v>250</v>
      </c>
      <c r="C44" s="111">
        <f>101/(0.287*(C43+273))</f>
        <v>1.2010797826164512</v>
      </c>
      <c r="D44" s="83" t="s">
        <v>272</v>
      </c>
      <c r="E44" s="10"/>
      <c r="F44" s="10"/>
      <c r="G44" s="10"/>
      <c r="H44" s="13"/>
      <c r="I44" s="145">
        <v>2.0500000000000001E-2</v>
      </c>
      <c r="J44" s="94">
        <f t="shared" si="6"/>
        <v>11.586600000000001</v>
      </c>
      <c r="K44" s="94">
        <f t="shared" si="0"/>
        <v>3.6905169944069334</v>
      </c>
      <c r="L44" s="94">
        <f t="shared" si="1"/>
        <v>30.006304854001566</v>
      </c>
      <c r="M44" s="94">
        <f t="shared" si="2"/>
        <v>297.01638228888373</v>
      </c>
      <c r="N44" s="94">
        <f t="shared" si="3"/>
        <v>12868.23855397067</v>
      </c>
      <c r="O44" s="94">
        <f t="shared" si="7"/>
        <v>12.176818747346392</v>
      </c>
      <c r="P44" s="94">
        <f t="shared" si="4"/>
        <v>7.2872100111084466</v>
      </c>
      <c r="Q44" s="94">
        <f t="shared" si="8"/>
        <v>26.233956039990407</v>
      </c>
      <c r="R44" s="94">
        <f t="shared" si="9"/>
        <v>23.908170092845037</v>
      </c>
      <c r="S44" s="128">
        <f t="shared" si="5"/>
        <v>71068.62000000001</v>
      </c>
      <c r="T44" s="135"/>
    </row>
    <row r="45" spans="1:20" x14ac:dyDescent="0.25">
      <c r="A45" s="9"/>
      <c r="B45" s="60" t="s">
        <v>250</v>
      </c>
      <c r="C45" s="111">
        <f>C44/0.062428</f>
        <v>19.239440357154663</v>
      </c>
      <c r="D45" s="83" t="s">
        <v>275</v>
      </c>
      <c r="E45" s="10"/>
      <c r="F45" s="10"/>
      <c r="G45" s="10"/>
      <c r="H45" s="13"/>
      <c r="I45" s="145">
        <v>2.1000000000000001E-2</v>
      </c>
      <c r="J45" s="94">
        <f t="shared" si="6"/>
        <v>11.869200000000001</v>
      </c>
      <c r="K45" s="94">
        <f t="shared" si="0"/>
        <v>3.7805557580359235</v>
      </c>
      <c r="L45" s="94">
        <f t="shared" si="1"/>
        <v>30.006616215724279</v>
      </c>
      <c r="M45" s="94">
        <f t="shared" si="2"/>
        <v>301.80748259243796</v>
      </c>
      <c r="N45" s="94">
        <f t="shared" si="3"/>
        <v>13075.81303577879</v>
      </c>
      <c r="O45" s="94">
        <f t="shared" si="7"/>
        <v>12.674982609726955</v>
      </c>
      <c r="P45" s="94">
        <f t="shared" si="4"/>
        <v>7.4347787843194375</v>
      </c>
      <c r="Q45" s="94">
        <f t="shared" si="8"/>
        <v>26.765203623549976</v>
      </c>
      <c r="R45" s="94">
        <f t="shared" si="9"/>
        <v>24.392319626746584</v>
      </c>
      <c r="S45" s="128">
        <f t="shared" si="5"/>
        <v>71068.62000000001</v>
      </c>
      <c r="T45" s="135"/>
    </row>
    <row r="46" spans="1:20" x14ac:dyDescent="0.25">
      <c r="A46" s="9"/>
      <c r="B46" s="60" t="s">
        <v>253</v>
      </c>
      <c r="C46" s="111">
        <f>'User input &amp; design output'!D18</f>
        <v>120</v>
      </c>
      <c r="D46" s="83" t="s">
        <v>266</v>
      </c>
      <c r="E46" s="10"/>
      <c r="F46" s="10"/>
      <c r="G46" s="10"/>
      <c r="H46" s="13"/>
      <c r="I46" s="145">
        <v>2.1499999999999998E-2</v>
      </c>
      <c r="J46" s="94">
        <f t="shared" si="6"/>
        <v>12.1518</v>
      </c>
      <c r="K46" s="94">
        <f t="shared" si="0"/>
        <v>3.8705964127769645</v>
      </c>
      <c r="L46" s="94">
        <f t="shared" si="1"/>
        <v>30.006935085720233</v>
      </c>
      <c r="M46" s="94">
        <f t="shared" si="2"/>
        <v>306.71411697608642</v>
      </c>
      <c r="N46" s="94">
        <f t="shared" si="3"/>
        <v>13288.39303308174</v>
      </c>
      <c r="O46" s="94">
        <f t="shared" si="7"/>
        <v>13.187690973484838</v>
      </c>
      <c r="P46" s="94">
        <f t="shared" si="4"/>
        <v>7.5836581116286084</v>
      </c>
      <c r="Q46" s="94">
        <f t="shared" si="8"/>
        <v>27.30116920186299</v>
      </c>
      <c r="R46" s="94">
        <f t="shared" si="9"/>
        <v>24.880768878955603</v>
      </c>
      <c r="S46" s="128">
        <f t="shared" si="5"/>
        <v>71068.62000000001</v>
      </c>
      <c r="T46" s="135"/>
    </row>
    <row r="47" spans="1:20" x14ac:dyDescent="0.25">
      <c r="A47" s="9"/>
      <c r="B47" s="60" t="s">
        <v>254</v>
      </c>
      <c r="C47" s="111">
        <f>C46*1000/3600</f>
        <v>33.333333333333336</v>
      </c>
      <c r="D47" s="83" t="s">
        <v>265</v>
      </c>
      <c r="E47" s="10"/>
      <c r="F47" s="10"/>
      <c r="G47" s="10"/>
      <c r="H47" s="13"/>
      <c r="I47" s="145">
        <v>2.1999999999999999E-2</v>
      </c>
      <c r="J47" s="94">
        <f t="shared" si="6"/>
        <v>12.4344</v>
      </c>
      <c r="K47" s="94">
        <f t="shared" si="0"/>
        <v>3.9606390037114032</v>
      </c>
      <c r="L47" s="94">
        <f t="shared" si="1"/>
        <v>30.007261464388232</v>
      </c>
      <c r="M47" s="94">
        <f t="shared" si="2"/>
        <v>311.73629157643472</v>
      </c>
      <c r="N47" s="94">
        <f t="shared" si="3"/>
        <v>13505.97881174804</v>
      </c>
      <c r="O47" s="94">
        <f t="shared" si="7"/>
        <v>13.715290400128152</v>
      </c>
      <c r="P47" s="94">
        <f t="shared" si="4"/>
        <v>7.7338700180987123</v>
      </c>
      <c r="Q47" s="94">
        <f t="shared" si="8"/>
        <v>27.841932065155362</v>
      </c>
      <c r="R47" s="94">
        <f t="shared" si="9"/>
        <v>25.373590110178981</v>
      </c>
      <c r="S47" s="128">
        <f t="shared" si="5"/>
        <v>71068.62000000001</v>
      </c>
      <c r="T47" s="135"/>
    </row>
    <row r="48" spans="1:20" ht="15.75" thickBot="1" x14ac:dyDescent="0.3">
      <c r="A48" s="9"/>
      <c r="B48" s="64" t="s">
        <v>255</v>
      </c>
      <c r="C48" s="132">
        <f>C46*0.911344</f>
        <v>109.36128000000001</v>
      </c>
      <c r="D48" s="85" t="s">
        <v>267</v>
      </c>
      <c r="E48" s="10"/>
      <c r="F48" s="10"/>
      <c r="G48" s="10"/>
      <c r="H48" s="13"/>
      <c r="I48" s="145">
        <v>2.2499999999999999E-2</v>
      </c>
      <c r="J48" s="94">
        <f t="shared" si="6"/>
        <v>12.717000000000001</v>
      </c>
      <c r="K48" s="94">
        <f t="shared" si="0"/>
        <v>4.0506835759244577</v>
      </c>
      <c r="L48" s="94">
        <f t="shared" si="1"/>
        <v>30.00759535213648</v>
      </c>
      <c r="M48" s="94">
        <f t="shared" si="2"/>
        <v>316.87401267473888</v>
      </c>
      <c r="N48" s="94">
        <f t="shared" si="3"/>
        <v>13728.570643913186</v>
      </c>
      <c r="O48" s="94">
        <f t="shared" si="7"/>
        <v>14.258127469800261</v>
      </c>
      <c r="P48" s="94">
        <f t="shared" si="4"/>
        <v>7.8854341874939049</v>
      </c>
      <c r="Q48" s="94">
        <f t="shared" si="8"/>
        <v>28.387563074978054</v>
      </c>
      <c r="R48" s="94">
        <f t="shared" si="9"/>
        <v>25.870847899697502</v>
      </c>
      <c r="S48" s="128">
        <f t="shared" si="5"/>
        <v>71068.62000000001</v>
      </c>
      <c r="T48" s="135"/>
    </row>
    <row r="49" spans="1:20" ht="16.5" thickTop="1" thickBot="1" x14ac:dyDescent="0.3">
      <c r="A49" s="11"/>
      <c r="B49" s="12"/>
      <c r="C49" s="12"/>
      <c r="D49" s="12"/>
      <c r="E49" s="12"/>
      <c r="F49" s="12"/>
      <c r="G49" s="12"/>
      <c r="H49" s="13"/>
      <c r="I49" s="145">
        <v>2.3E-2</v>
      </c>
      <c r="J49" s="94">
        <f t="shared" si="6"/>
        <v>12.999600000000001</v>
      </c>
      <c r="K49" s="94">
        <f t="shared" si="0"/>
        <v>4.1407301745053147</v>
      </c>
      <c r="L49" s="94">
        <f t="shared" si="1"/>
        <v>30.007936749382587</v>
      </c>
      <c r="M49" s="94">
        <f t="shared" si="2"/>
        <v>322.12728669701482</v>
      </c>
      <c r="N49" s="94">
        <f t="shared" si="3"/>
        <v>13956.168807984401</v>
      </c>
      <c r="O49" s="94">
        <f t="shared" si="7"/>
        <v>14.816548781718527</v>
      </c>
      <c r="P49" s="94">
        <f t="shared" si="4"/>
        <v>8.0383681483128751</v>
      </c>
      <c r="Q49" s="94">
        <f t="shared" si="8"/>
        <v>28.938125333926347</v>
      </c>
      <c r="R49" s="94">
        <f t="shared" si="9"/>
        <v>26.372599755710812</v>
      </c>
      <c r="S49" s="128">
        <f t="shared" si="5"/>
        <v>71068.62000000001</v>
      </c>
      <c r="T49" s="135"/>
    </row>
    <row r="50" spans="1:20" ht="15.75" thickTop="1" x14ac:dyDescent="0.25">
      <c r="H50" s="9"/>
      <c r="I50" s="145">
        <v>2.35E-2</v>
      </c>
      <c r="J50" s="94">
        <f t="shared" si="6"/>
        <v>13.282200000000001</v>
      </c>
      <c r="K50" s="94">
        <f t="shared" si="0"/>
        <v>4.2307788445472134</v>
      </c>
      <c r="L50" s="94">
        <f t="shared" si="1"/>
        <v>30.008285656553568</v>
      </c>
      <c r="M50" s="94">
        <f t="shared" si="2"/>
        <v>327.49612021398377</v>
      </c>
      <c r="N50" s="94">
        <f t="shared" si="3"/>
        <v>14188.773588638265</v>
      </c>
      <c r="O50" s="94">
        <f t="shared" si="7"/>
        <v>15.390900954605932</v>
      </c>
      <c r="P50" s="94">
        <f t="shared" si="4"/>
        <v>8.1926874441685342</v>
      </c>
      <c r="Q50" s="94">
        <f t="shared" si="8"/>
        <v>29.493674799006723</v>
      </c>
      <c r="R50" s="94">
        <f t="shared" si="9"/>
        <v>26.878896674325894</v>
      </c>
      <c r="S50" s="128">
        <f t="shared" si="5"/>
        <v>71068.62000000001</v>
      </c>
      <c r="T50" s="135"/>
    </row>
    <row r="51" spans="1:20" x14ac:dyDescent="0.25">
      <c r="H51" s="9"/>
      <c r="I51" s="145">
        <v>2.4E-2</v>
      </c>
      <c r="J51" s="94">
        <f t="shared" si="6"/>
        <v>13.564800000000002</v>
      </c>
      <c r="K51" s="94">
        <f t="shared" si="0"/>
        <v>4.3208296311475411</v>
      </c>
      <c r="L51" s="94">
        <f t="shared" si="1"/>
        <v>30.008642074085834</v>
      </c>
      <c r="M51" s="94">
        <f t="shared" si="2"/>
        <v>332.98051994096278</v>
      </c>
      <c r="N51" s="94">
        <f t="shared" si="3"/>
        <v>14426.385276815974</v>
      </c>
      <c r="O51" s="94">
        <f t="shared" si="7"/>
        <v>15.981530627119696</v>
      </c>
      <c r="P51" s="94">
        <f t="shared" si="4"/>
        <v>8.3484057900750948</v>
      </c>
      <c r="Q51" s="94">
        <f t="shared" si="8"/>
        <v>30.054260844270342</v>
      </c>
      <c r="R51" s="94">
        <f t="shared" si="9"/>
        <v>27.389783652309973</v>
      </c>
      <c r="S51" s="128">
        <f t="shared" si="5"/>
        <v>71068.62000000001</v>
      </c>
      <c r="T51" s="135"/>
    </row>
    <row r="52" spans="1:20" x14ac:dyDescent="0.25">
      <c r="H52" s="9"/>
      <c r="I52" s="145">
        <v>2.4500000000000001E-2</v>
      </c>
      <c r="J52" s="94">
        <f t="shared" si="6"/>
        <v>13.847400000000002</v>
      </c>
      <c r="K52" s="94">
        <f t="shared" si="0"/>
        <v>4.4108825794079216</v>
      </c>
      <c r="L52" s="94">
        <f t="shared" si="1"/>
        <v>30.00900600242521</v>
      </c>
      <c r="M52" s="94">
        <f t="shared" si="2"/>
        <v>338.58049273808336</v>
      </c>
      <c r="N52" s="94">
        <f t="shared" si="3"/>
        <v>14669.004169732814</v>
      </c>
      <c r="O52" s="94">
        <f t="shared" si="7"/>
        <v>16.588784458295269</v>
      </c>
      <c r="P52" s="94">
        <f t="shared" si="4"/>
        <v>8.5055352160127615</v>
      </c>
      <c r="Q52" s="94">
        <f t="shared" si="8"/>
        <v>30.61992677764594</v>
      </c>
      <c r="R52" s="94">
        <f t="shared" si="9"/>
        <v>27.905300158103309</v>
      </c>
      <c r="S52" s="128">
        <f t="shared" si="5"/>
        <v>71068.62000000001</v>
      </c>
      <c r="T52" s="135"/>
    </row>
    <row r="53" spans="1:20" x14ac:dyDescent="0.25">
      <c r="H53" s="9"/>
      <c r="I53" s="145">
        <v>2.5000000000000001E-2</v>
      </c>
      <c r="J53" s="94">
        <f t="shared" si="6"/>
        <v>14.130000000000003</v>
      </c>
      <c r="K53" s="94">
        <f t="shared" si="0"/>
        <v>4.5009377344343067</v>
      </c>
      <c r="L53" s="94">
        <f t="shared" si="1"/>
        <v>30.009377442026931</v>
      </c>
      <c r="M53" s="94">
        <f t="shared" si="2"/>
        <v>344.29604561034648</v>
      </c>
      <c r="N53" s="94">
        <f t="shared" si="3"/>
        <v>14916.630570880543</v>
      </c>
      <c r="O53" s="94">
        <f t="shared" si="7"/>
        <v>17.213009127983373</v>
      </c>
      <c r="P53" s="94">
        <f t="shared" si="4"/>
        <v>8.6640861989645899</v>
      </c>
      <c r="Q53" s="94">
        <f t="shared" si="8"/>
        <v>31.190710316272522</v>
      </c>
      <c r="R53" s="94">
        <f t="shared" si="9"/>
        <v>28.425480565010986</v>
      </c>
      <c r="S53" s="128">
        <f t="shared" si="5"/>
        <v>71068.62000000001</v>
      </c>
      <c r="T53" s="135"/>
    </row>
    <row r="54" spans="1:20" x14ac:dyDescent="0.25">
      <c r="H54" s="9"/>
      <c r="I54" s="145">
        <v>2.5499999999999998E-2</v>
      </c>
      <c r="J54" s="94">
        <f t="shared" si="6"/>
        <v>14.412599999999999</v>
      </c>
      <c r="K54" s="94">
        <f t="shared" si="0"/>
        <v>4.5909951413370633</v>
      </c>
      <c r="L54" s="94">
        <f t="shared" si="1"/>
        <v>30.009756393355637</v>
      </c>
      <c r="M54" s="94">
        <f t="shared" si="2"/>
        <v>350.12718570740344</v>
      </c>
      <c r="N54" s="94">
        <f t="shared" si="3"/>
        <v>15169.264790017893</v>
      </c>
      <c r="O54" s="94">
        <f t="shared" si="7"/>
        <v>17.854551337273378</v>
      </c>
      <c r="P54" s="94">
        <f t="shared" si="4"/>
        <v>8.8240677844845639</v>
      </c>
      <c r="Q54" s="94">
        <f t="shared" si="8"/>
        <v>31.76664402414443</v>
      </c>
      <c r="R54" s="94">
        <f t="shared" si="9"/>
        <v>28.950354550048335</v>
      </c>
      <c r="S54" s="128">
        <f t="shared" si="5"/>
        <v>71068.62000000001</v>
      </c>
      <c r="T54" s="135"/>
    </row>
    <row r="55" spans="1:20" x14ac:dyDescent="0.25">
      <c r="H55" s="9"/>
      <c r="I55" s="145">
        <v>2.5999999999999999E-2</v>
      </c>
      <c r="J55" s="94">
        <f t="shared" si="6"/>
        <v>14.6952</v>
      </c>
      <c r="K55" s="94">
        <f t="shared" si="0"/>
        <v>4.6810548452310687</v>
      </c>
      <c r="L55" s="94">
        <f t="shared" si="1"/>
        <v>30.010142856885377</v>
      </c>
      <c r="M55" s="94">
        <f t="shared" si="2"/>
        <v>356.07392032372013</v>
      </c>
      <c r="N55" s="94">
        <f t="shared" si="3"/>
        <v>15426.90714317769</v>
      </c>
      <c r="O55" s="94">
        <f t="shared" si="7"/>
        <v>18.513757808935246</v>
      </c>
      <c r="P55" s="94">
        <f t="shared" si="4"/>
        <v>8.9854876987453753</v>
      </c>
      <c r="Q55" s="94">
        <f t="shared" si="8"/>
        <v>32.347755715483352</v>
      </c>
      <c r="R55" s="94">
        <f t="shared" si="9"/>
        <v>29.479947461551777</v>
      </c>
      <c r="S55" s="128">
        <f t="shared" si="5"/>
        <v>71068.62000000001</v>
      </c>
      <c r="T55" s="135"/>
    </row>
    <row r="56" spans="1:20" x14ac:dyDescent="0.25">
      <c r="H56" s="9"/>
      <c r="I56" s="145">
        <v>2.6499999999999999E-2</v>
      </c>
      <c r="J56" s="94">
        <f t="shared" si="6"/>
        <v>14.9778</v>
      </c>
      <c r="K56" s="94">
        <f t="shared" si="0"/>
        <v>4.7711168912357973</v>
      </c>
      <c r="L56" s="94">
        <f t="shared" si="1"/>
        <v>30.010536833099614</v>
      </c>
      <c r="M56" s="94">
        <f t="shared" si="2"/>
        <v>362.13625689863181</v>
      </c>
      <c r="N56" s="94">
        <f t="shared" si="3"/>
        <v>15689.557952669235</v>
      </c>
      <c r="O56" s="94">
        <f t="shared" si="7"/>
        <v>19.190975287856524</v>
      </c>
      <c r="P56" s="94">
        <f t="shared" si="4"/>
        <v>9.1483524518967236</v>
      </c>
      <c r="Q56" s="94">
        <f t="shared" si="8"/>
        <v>32.934068826828202</v>
      </c>
      <c r="R56" s="94">
        <f t="shared" si="9"/>
        <v>30.014280658280846</v>
      </c>
      <c r="S56" s="128">
        <f t="shared" si="5"/>
        <v>71068.62000000001</v>
      </c>
      <c r="T56" s="135"/>
    </row>
    <row r="57" spans="1:20" x14ac:dyDescent="0.25">
      <c r="H57" s="9"/>
      <c r="I57" s="145">
        <v>2.7E-2</v>
      </c>
      <c r="J57" s="94">
        <f t="shared" si="6"/>
        <v>15.260400000000001</v>
      </c>
      <c r="K57" s="94">
        <f t="shared" si="0"/>
        <v>4.861181324475413</v>
      </c>
      <c r="L57" s="94">
        <f t="shared" si="1"/>
        <v>30.010938322491235</v>
      </c>
      <c r="M57" s="94">
        <f t="shared" si="2"/>
        <v>368.3142030164521</v>
      </c>
      <c r="N57" s="94">
        <f t="shared" si="3"/>
        <v>15957.217547083006</v>
      </c>
      <c r="O57" s="94">
        <f t="shared" si="7"/>
        <v>19.886550541482663</v>
      </c>
      <c r="P57" s="94">
        <f t="shared" si="4"/>
        <v>9.3126674334839521</v>
      </c>
      <c r="Q57" s="94">
        <f t="shared" si="8"/>
        <v>33.525602760542228</v>
      </c>
      <c r="R57" s="94">
        <f t="shared" si="9"/>
        <v>30.55337182247149</v>
      </c>
      <c r="S57" s="128">
        <f t="shared" si="5"/>
        <v>71068.62000000001</v>
      </c>
      <c r="T57" s="135"/>
    </row>
    <row r="58" spans="1:20" x14ac:dyDescent="0.25">
      <c r="H58" s="9"/>
      <c r="I58" s="145">
        <v>2.75E-2</v>
      </c>
      <c r="J58" s="94">
        <f t="shared" si="6"/>
        <v>15.543000000000001</v>
      </c>
      <c r="K58" s="94">
        <f t="shared" si="0"/>
        <v>4.9512481900788581</v>
      </c>
      <c r="L58" s="94">
        <f t="shared" si="1"/>
        <v>30.011347325562525</v>
      </c>
      <c r="M58" s="94">
        <f t="shared" si="2"/>
        <v>374.60776640614523</v>
      </c>
      <c r="N58" s="94">
        <f t="shared" si="3"/>
        <v>16229.886261276481</v>
      </c>
      <c r="O58" s="94">
        <f t="shared" si="7"/>
        <v>20.600830360233811</v>
      </c>
      <c r="P58" s="94">
        <f t="shared" si="4"/>
        <v>9.4784370005910947</v>
      </c>
      <c r="Q58" s="94">
        <f t="shared" si="8"/>
        <v>34.122373202127939</v>
      </c>
      <c r="R58" s="94">
        <f t="shared" si="9"/>
        <v>31.097235249019288</v>
      </c>
      <c r="S58" s="128">
        <f t="shared" si="5"/>
        <v>71068.62000000001</v>
      </c>
      <c r="T58" s="135"/>
    </row>
    <row r="59" spans="1:20" x14ac:dyDescent="0.25">
      <c r="H59" s="9"/>
      <c r="I59" s="145">
        <v>2.8000000000000001E-2</v>
      </c>
      <c r="J59" s="94">
        <f t="shared" si="6"/>
        <v>15.825600000000001</v>
      </c>
      <c r="K59" s="94">
        <f t="shared" si="0"/>
        <v>5.0413175331799476</v>
      </c>
      <c r="L59" s="94">
        <f t="shared" si="1"/>
        <v>30.011763842825193</v>
      </c>
      <c r="M59" s="94">
        <f t="shared" si="2"/>
        <v>381.01695494165409</v>
      </c>
      <c r="N59" s="94">
        <f t="shared" si="3"/>
        <v>16507.564436388333</v>
      </c>
      <c r="O59" s="94">
        <f t="shared" si="7"/>
        <v>21.334161557956328</v>
      </c>
      <c r="P59" s="94">
        <f t="shared" si="4"/>
        <v>9.645664559325029</v>
      </c>
      <c r="Q59" s="94">
        <f t="shared" si="8"/>
        <v>34.724392413570101</v>
      </c>
      <c r="R59" s="94">
        <f t="shared" si="9"/>
        <v>31.645882112815929</v>
      </c>
      <c r="S59" s="128">
        <f t="shared" si="5"/>
        <v>71068.62000000001</v>
      </c>
      <c r="T59" s="135"/>
    </row>
    <row r="60" spans="1:20" x14ac:dyDescent="0.25">
      <c r="H60" s="9"/>
      <c r="I60" s="145">
        <v>2.8500000000000001E-2</v>
      </c>
      <c r="J60" s="94">
        <f t="shared" si="6"/>
        <v>16.108200000000004</v>
      </c>
      <c r="K60" s="94">
        <f t="shared" si="0"/>
        <v>5.1313893989174542</v>
      </c>
      <c r="L60" s="94">
        <f t="shared" si="1"/>
        <v>30.012187874800372</v>
      </c>
      <c r="M60" s="94">
        <f t="shared" si="2"/>
        <v>387.5417766419547</v>
      </c>
      <c r="N60" s="94">
        <f t="shared" si="3"/>
        <v>16790.252419840806</v>
      </c>
      <c r="O60" s="94">
        <f t="shared" si="7"/>
        <v>22.086890972360674</v>
      </c>
      <c r="P60" s="94">
        <f t="shared" si="4"/>
        <v>9.8143526401728192</v>
      </c>
      <c r="Q60" s="94">
        <f t="shared" si="8"/>
        <v>35.331669504622148</v>
      </c>
      <c r="R60" s="94">
        <f t="shared" si="9"/>
        <v>32.199320715984591</v>
      </c>
      <c r="S60" s="128">
        <f t="shared" si="5"/>
        <v>71068.62000000001</v>
      </c>
      <c r="T60" s="135"/>
    </row>
    <row r="61" spans="1:20" x14ac:dyDescent="0.25">
      <c r="H61" s="9"/>
      <c r="I61" s="145">
        <v>2.9000000000000001E-2</v>
      </c>
      <c r="J61" s="94">
        <f t="shared" si="6"/>
        <v>16.390800000000002</v>
      </c>
      <c r="K61" s="94">
        <f t="shared" si="0"/>
        <v>5.2214638324352043</v>
      </c>
      <c r="L61" s="94">
        <f t="shared" si="1"/>
        <v>30.012619422018609</v>
      </c>
      <c r="M61" s="94">
        <f t="shared" si="2"/>
        <v>394.18223967089233</v>
      </c>
      <c r="N61" s="94">
        <f t="shared" si="3"/>
        <v>17077.950565332594</v>
      </c>
      <c r="O61" s="94">
        <f t="shared" si="7"/>
        <v>22.859365465446793</v>
      </c>
      <c r="P61" s="94">
        <f t="shared" si="4"/>
        <v>9.9845029677248895</v>
      </c>
      <c r="Q61" s="94">
        <f t="shared" si="8"/>
        <v>35.944210683809601</v>
      </c>
      <c r="R61" s="94">
        <f t="shared" si="9"/>
        <v>32.757556716630525</v>
      </c>
      <c r="S61" s="128">
        <f t="shared" si="5"/>
        <v>71068.62000000001</v>
      </c>
      <c r="T61" s="135"/>
    </row>
    <row r="62" spans="1:20" x14ac:dyDescent="0.25">
      <c r="H62" s="9"/>
      <c r="I62" s="145">
        <v>2.9499999999999998E-2</v>
      </c>
      <c r="J62" s="94">
        <f t="shared" si="6"/>
        <v>16.673400000000001</v>
      </c>
      <c r="K62" s="94">
        <f t="shared" si="0"/>
        <v>5.3115408788821608</v>
      </c>
      <c r="L62" s="94">
        <f t="shared" si="1"/>
        <v>30.013058485019872</v>
      </c>
      <c r="M62" s="94">
        <f t="shared" si="2"/>
        <v>400.9383523372361</v>
      </c>
      <c r="N62" s="94">
        <f t="shared" si="3"/>
        <v>17370.65923284123</v>
      </c>
      <c r="O62" s="94">
        <f t="shared" si="7"/>
        <v>23.651931923941437</v>
      </c>
      <c r="P62" s="94">
        <f t="shared" si="4"/>
        <v>10.15611652521577</v>
      </c>
      <c r="Q62" s="94">
        <f t="shared" si="8"/>
        <v>36.56201949077677</v>
      </c>
      <c r="R62" s="94">
        <f t="shared" si="9"/>
        <v>33.320593340588907</v>
      </c>
      <c r="S62" s="128">
        <f t="shared" si="5"/>
        <v>71068.62000000001</v>
      </c>
      <c r="T62" s="135"/>
    </row>
    <row r="63" spans="1:20" x14ac:dyDescent="0.25">
      <c r="H63" s="9"/>
      <c r="I63" s="145">
        <v>0.03</v>
      </c>
      <c r="J63" s="94">
        <f t="shared" si="6"/>
        <v>16.956</v>
      </c>
      <c r="K63" s="94">
        <f t="shared" si="0"/>
        <v>5.4016205834125284</v>
      </c>
      <c r="L63" s="94">
        <f t="shared" si="1"/>
        <v>30.013505064353552</v>
      </c>
      <c r="M63" s="94">
        <f t="shared" si="2"/>
        <v>407.81012309478831</v>
      </c>
      <c r="N63" s="94">
        <f t="shared" si="3"/>
        <v>17668.378788627804</v>
      </c>
      <c r="O63" s="94">
        <f t="shared" si="7"/>
        <v>24.464937259739006</v>
      </c>
      <c r="P63" s="94">
        <f t="shared" si="4"/>
        <v>10.329193614286035</v>
      </c>
      <c r="Q63" s="94">
        <f t="shared" si="8"/>
        <v>37.185097011429725</v>
      </c>
      <c r="R63" s="94">
        <f t="shared" si="9"/>
        <v>33.888431577494195</v>
      </c>
      <c r="S63" s="128">
        <f t="shared" si="5"/>
        <v>71068.62000000001</v>
      </c>
      <c r="T63" s="135"/>
    </row>
    <row r="64" spans="1:20" x14ac:dyDescent="0.25">
      <c r="H64" s="9"/>
      <c r="I64" s="145">
        <v>3.0499999999999999E-2</v>
      </c>
      <c r="J64" s="94">
        <f t="shared" si="6"/>
        <v>17.238600000000002</v>
      </c>
      <c r="K64" s="94">
        <f t="shared" si="0"/>
        <v>5.4917029911858277</v>
      </c>
      <c r="L64" s="94">
        <f t="shared" si="1"/>
        <v>30.013959160578469</v>
      </c>
      <c r="M64" s="94">
        <f t="shared" si="2"/>
        <v>414.79756054243944</v>
      </c>
      <c r="N64" s="94">
        <f t="shared" si="3"/>
        <v>17971.109605239355</v>
      </c>
      <c r="O64" s="94">
        <f t="shared" si="7"/>
        <v>25.298728410339621</v>
      </c>
      <c r="P64" s="94">
        <f t="shared" si="4"/>
        <v>10.503733910333645</v>
      </c>
      <c r="Q64" s="94">
        <f t="shared" si="8"/>
        <v>37.813442077201124</v>
      </c>
      <c r="R64" s="94">
        <f t="shared" si="9"/>
        <v>34.46107036237904</v>
      </c>
      <c r="S64" s="128">
        <f t="shared" si="5"/>
        <v>71068.62000000001</v>
      </c>
      <c r="T64" s="135"/>
    </row>
    <row r="65" spans="8:20" x14ac:dyDescent="0.25">
      <c r="H65" s="9"/>
      <c r="I65" s="145">
        <v>3.1E-2</v>
      </c>
      <c r="J65" s="94">
        <f t="shared" si="6"/>
        <v>17.5212</v>
      </c>
      <c r="K65" s="94">
        <f t="shared" si="0"/>
        <v>5.5817881473669937</v>
      </c>
      <c r="L65" s="94">
        <f t="shared" si="1"/>
        <v>30.014420774262867</v>
      </c>
      <c r="M65" s="94">
        <f t="shared" si="2"/>
        <v>421.90067342405803</v>
      </c>
      <c r="N65" s="94">
        <f t="shared" si="3"/>
        <v>18278.852061504102</v>
      </c>
      <c r="O65" s="94">
        <f t="shared" si="7"/>
        <v>26.153652339277301</v>
      </c>
      <c r="P65" s="94">
        <f t="shared" si="4"/>
        <v>10.679736513790884</v>
      </c>
      <c r="Q65" s="94">
        <f t="shared" si="8"/>
        <v>38.447051449647184</v>
      </c>
      <c r="R65" s="94">
        <f t="shared" si="9"/>
        <v>35.038506743905685</v>
      </c>
      <c r="S65" s="128">
        <f t="shared" si="5"/>
        <v>71068.62000000001</v>
      </c>
      <c r="T65" s="135"/>
    </row>
    <row r="66" spans="8:20" x14ac:dyDescent="0.25">
      <c r="H66" s="9"/>
      <c r="I66" s="145">
        <v>3.15E-2</v>
      </c>
      <c r="J66" s="94">
        <f t="shared" si="6"/>
        <v>17.803800000000003</v>
      </c>
      <c r="K66" s="94">
        <f t="shared" si="0"/>
        <v>5.6718760971264679</v>
      </c>
      <c r="L66" s="94">
        <f t="shared" si="1"/>
        <v>30.014889905984418</v>
      </c>
      <c r="M66" s="94">
        <f t="shared" si="2"/>
        <v>429.11947062865562</v>
      </c>
      <c r="N66" s="94">
        <f t="shared" si="3"/>
        <v>18591.606542538582</v>
      </c>
      <c r="O66" s="94">
        <f t="shared" si="7"/>
        <v>27.03005603656468</v>
      </c>
      <c r="P66" s="94">
        <f t="shared" si="4"/>
        <v>10.857199997641102</v>
      </c>
      <c r="Q66" s="94">
        <f t="shared" si="8"/>
        <v>39.085919991507964</v>
      </c>
      <c r="R66" s="94">
        <f t="shared" si="9"/>
        <v>35.62073604026083</v>
      </c>
      <c r="S66" s="128">
        <f t="shared" si="5"/>
        <v>71068.62000000001</v>
      </c>
      <c r="T66" s="135"/>
    </row>
    <row r="67" spans="8:20" x14ac:dyDescent="0.25">
      <c r="H67" s="9"/>
      <c r="I67" s="145">
        <v>3.2000000000000001E-2</v>
      </c>
      <c r="J67" s="94">
        <f t="shared" si="6"/>
        <v>18.086400000000001</v>
      </c>
      <c r="K67" s="94">
        <f t="shared" si="0"/>
        <v>5.7619668856402866</v>
      </c>
      <c r="L67" s="94">
        <f t="shared" si="1"/>
        <v>30.015366556330228</v>
      </c>
      <c r="M67" s="94">
        <f t="shared" si="2"/>
        <v>436.45396119033137</v>
      </c>
      <c r="N67" s="94">
        <f t="shared" si="3"/>
        <v>18909.373439745254</v>
      </c>
      <c r="O67" s="94">
        <f t="shared" si="7"/>
        <v>27.928286519124576</v>
      </c>
      <c r="P67" s="94">
        <f t="shared" si="4"/>
        <v>11.036122451451993</v>
      </c>
      <c r="Q67" s="94">
        <f t="shared" si="8"/>
        <v>39.730040825227171</v>
      </c>
      <c r="R67" s="94">
        <f t="shared" si="9"/>
        <v>36.207751983621755</v>
      </c>
      <c r="S67" s="128">
        <f t="shared" si="5"/>
        <v>71068.62000000001</v>
      </c>
      <c r="T67" s="135"/>
    </row>
    <row r="68" spans="8:20" x14ac:dyDescent="0.25">
      <c r="H68" s="9"/>
      <c r="I68" s="145">
        <v>3.2500000000000001E-2</v>
      </c>
      <c r="J68" s="94">
        <f t="shared" si="6"/>
        <v>18.369000000000003</v>
      </c>
      <c r="K68" s="94">
        <f t="shared" si="0"/>
        <v>5.8520605580901721</v>
      </c>
      <c r="L68" s="94">
        <f t="shared" si="1"/>
        <v>30.015850725896826</v>
      </c>
      <c r="M68" s="94">
        <f t="shared" si="2"/>
        <v>443.90415428821791</v>
      </c>
      <c r="N68" s="94">
        <f t="shared" si="3"/>
        <v>19232.153150810162</v>
      </c>
      <c r="O68" s="94">
        <f t="shared" si="7"/>
        <v>28.84869083122123</v>
      </c>
      <c r="P68" s="94">
        <f t="shared" si="4"/>
        <v>11.216501522187746</v>
      </c>
      <c r="Q68" s="94">
        <f t="shared" si="8"/>
        <v>40.379405479875885</v>
      </c>
      <c r="R68" s="94">
        <f t="shared" si="9"/>
        <v>36.799546854054448</v>
      </c>
      <c r="S68" s="128">
        <f t="shared" si="5"/>
        <v>71068.62000000001</v>
      </c>
      <c r="T68" s="135"/>
    </row>
    <row r="69" spans="8:20" x14ac:dyDescent="0.25">
      <c r="H69" s="9"/>
      <c r="I69" s="145">
        <v>3.3000000000000002E-2</v>
      </c>
      <c r="J69" s="94">
        <f t="shared" si="6"/>
        <v>18.651600000000002</v>
      </c>
      <c r="K69" s="94">
        <f t="shared" ref="K69:K132" si="10">$C$36/2*TAN(I69)*12</f>
        <v>5.9421571596636227</v>
      </c>
      <c r="L69" s="94">
        <f t="shared" ref="L69:L132" si="11">2*($C$36^2/4+(K69/12)^2)^0.5</f>
        <v>30.016342415290183</v>
      </c>
      <c r="M69" s="94">
        <f t="shared" ref="M69:M132" si="12">$C$37+(L69-$C$36)*$C$39*$C$40/$C$36</f>
        <v>451.4700592467542</v>
      </c>
      <c r="N69" s="94">
        <f t="shared" ref="N69:N132" si="13">M69/$C$39</f>
        <v>19559.946079714737</v>
      </c>
      <c r="O69" s="94">
        <f t="shared" si="7"/>
        <v>29.791616044912733</v>
      </c>
      <c r="P69" s="94">
        <f t="shared" ref="P69:P132" si="14">(4*O69*4.448/(0.5*$C$44*$C$11*1.2))^0.5</f>
        <v>11.398334452042842</v>
      </c>
      <c r="Q69" s="94">
        <f t="shared" si="8"/>
        <v>41.034004027354229</v>
      </c>
      <c r="R69" s="94">
        <f t="shared" si="9"/>
        <v>37.396111603640236</v>
      </c>
      <c r="S69" s="128">
        <f t="shared" ref="S69:S132" si="15">$C$42</f>
        <v>71068.62000000001</v>
      </c>
      <c r="T69" s="135"/>
    </row>
    <row r="70" spans="8:20" x14ac:dyDescent="0.25">
      <c r="H70" s="9"/>
      <c r="I70" s="145">
        <v>3.3500000000000002E-2</v>
      </c>
      <c r="J70" s="94">
        <f t="shared" ref="J70:J133" si="16">180*3.14*I70</f>
        <v>18.934200000000004</v>
      </c>
      <c r="K70" s="94">
        <f t="shared" si="10"/>
        <v>6.0322567355540047</v>
      </c>
      <c r="L70" s="94">
        <f t="shared" si="11"/>
        <v>30.0168416251257</v>
      </c>
      <c r="M70" s="94">
        <f t="shared" si="12"/>
        <v>459.15168553546721</v>
      </c>
      <c r="N70" s="94">
        <f t="shared" si="13"/>
        <v>19892.75263672636</v>
      </c>
      <c r="O70" s="94">
        <f t="shared" ref="O70:O133" si="17">2*M70*SIN(I70)</f>
        <v>30.757409260472098</v>
      </c>
      <c r="P70" s="94">
        <f t="shared" si="14"/>
        <v>11.581618113506693</v>
      </c>
      <c r="Q70" s="94">
        <f t="shared" ref="Q70:Q133" si="18">P70/1000*3600</f>
        <v>41.693825208624091</v>
      </c>
      <c r="R70" s="94">
        <f t="shared" ref="R70:R133" si="19">P70*3.28084</f>
        <v>37.997435971517298</v>
      </c>
      <c r="S70" s="128">
        <f t="shared" si="15"/>
        <v>71068.62000000001</v>
      </c>
      <c r="T70" s="135"/>
    </row>
    <row r="71" spans="8:20" x14ac:dyDescent="0.25">
      <c r="H71" s="9"/>
      <c r="I71" s="145">
        <v>3.4000000000000002E-2</v>
      </c>
      <c r="J71" s="94">
        <f t="shared" si="16"/>
        <v>19.216800000000003</v>
      </c>
      <c r="K71" s="94">
        <f t="shared" si="10"/>
        <v>6.1223593309606423</v>
      </c>
      <c r="L71" s="94">
        <f t="shared" si="11"/>
        <v>30.017348356028219</v>
      </c>
      <c r="M71" s="94">
        <f t="shared" si="12"/>
        <v>466.94904276913576</v>
      </c>
      <c r="N71" s="94">
        <f t="shared" si="13"/>
        <v>20230.573238405446</v>
      </c>
      <c r="O71" s="94">
        <f t="shared" si="17"/>
        <v>31.746417606832967</v>
      </c>
      <c r="P71" s="94">
        <f t="shared" si="14"/>
        <v>11.766349041872392</v>
      </c>
      <c r="Q71" s="94">
        <f t="shared" si="18"/>
        <v>42.358856550740612</v>
      </c>
      <c r="R71" s="94">
        <f t="shared" si="19"/>
        <v>38.60350859053662</v>
      </c>
      <c r="S71" s="128">
        <f t="shared" si="15"/>
        <v>71068.62000000001</v>
      </c>
      <c r="T71" s="135"/>
    </row>
    <row r="72" spans="8:20" x14ac:dyDescent="0.25">
      <c r="H72" s="9"/>
      <c r="I72" s="145">
        <v>3.4500000000000003E-2</v>
      </c>
      <c r="J72" s="94">
        <f t="shared" si="16"/>
        <v>19.499400000000005</v>
      </c>
      <c r="K72" s="94">
        <f t="shared" si="10"/>
        <v>6.2124649910889111</v>
      </c>
      <c r="L72" s="94">
        <f t="shared" si="11"/>
        <v>30.017862608632022</v>
      </c>
      <c r="M72" s="94">
        <f t="shared" si="12"/>
        <v>474.86214070784524</v>
      </c>
      <c r="N72" s="94">
        <f t="shared" si="13"/>
        <v>20573.408307607817</v>
      </c>
      <c r="O72" s="94">
        <f t="shared" si="17"/>
        <v>32.758988242028657</v>
      </c>
      <c r="P72" s="94">
        <f t="shared" si="14"/>
        <v>11.952523465369946</v>
      </c>
      <c r="Q72" s="94">
        <f t="shared" si="18"/>
        <v>43.029084475331807</v>
      </c>
      <c r="R72" s="94">
        <f t="shared" si="19"/>
        <v>39.214317086124332</v>
      </c>
      <c r="S72" s="128">
        <f t="shared" si="15"/>
        <v>71068.62000000001</v>
      </c>
      <c r="T72" s="135"/>
    </row>
    <row r="73" spans="8:20" x14ac:dyDescent="0.25">
      <c r="H73" s="9"/>
      <c r="I73" s="145">
        <v>3.5000000000000003E-2</v>
      </c>
      <c r="J73" s="94">
        <f t="shared" si="16"/>
        <v>19.782000000000004</v>
      </c>
      <c r="K73" s="94">
        <f t="shared" si="10"/>
        <v>6.3025737611503203</v>
      </c>
      <c r="L73" s="94">
        <f t="shared" si="11"/>
        <v>30.01838438358083</v>
      </c>
      <c r="M73" s="94">
        <f t="shared" si="12"/>
        <v>482.89098925687824</v>
      </c>
      <c r="N73" s="94">
        <f t="shared" si="13"/>
        <v>20921.258273479969</v>
      </c>
      <c r="O73" s="94">
        <f t="shared" si="17"/>
        <v>33.795468353620024</v>
      </c>
      <c r="P73" s="94">
        <f t="shared" si="14"/>
        <v>12.14013733309544</v>
      </c>
      <c r="Q73" s="94">
        <f t="shared" si="18"/>
        <v>43.704494399143584</v>
      </c>
      <c r="R73" s="94">
        <f t="shared" si="19"/>
        <v>39.829848167912843</v>
      </c>
      <c r="S73" s="128">
        <f t="shared" si="15"/>
        <v>71068.62000000001</v>
      </c>
      <c r="T73" s="135"/>
    </row>
    <row r="74" spans="8:20" x14ac:dyDescent="0.25">
      <c r="H74" s="9"/>
      <c r="I74" s="145">
        <v>3.5499999999999997E-2</v>
      </c>
      <c r="J74" s="94">
        <f t="shared" si="16"/>
        <v>20.064599999999999</v>
      </c>
      <c r="K74" s="94">
        <f t="shared" si="10"/>
        <v>6.3926856863626202</v>
      </c>
      <c r="L74" s="94">
        <f t="shared" si="11"/>
        <v>30.018913681527806</v>
      </c>
      <c r="M74" s="94">
        <f t="shared" si="12"/>
        <v>491.03559846682407</v>
      </c>
      <c r="N74" s="94">
        <f t="shared" si="13"/>
        <v>21274.12357146381</v>
      </c>
      <c r="O74" s="94">
        <f t="shared" si="17"/>
        <v>34.856205159138057</v>
      </c>
      <c r="P74" s="94">
        <f t="shared" si="14"/>
        <v>12.329186340899991</v>
      </c>
      <c r="Q74" s="94">
        <f t="shared" si="18"/>
        <v>44.385070827239971</v>
      </c>
      <c r="R74" s="94">
        <f t="shared" si="19"/>
        <v>40.450087714678325</v>
      </c>
      <c r="S74" s="128">
        <f t="shared" si="15"/>
        <v>71068.62000000001</v>
      </c>
      <c r="T74" s="135"/>
    </row>
    <row r="75" spans="8:20" x14ac:dyDescent="0.25">
      <c r="H75" s="9"/>
      <c r="I75" s="145">
        <v>3.5999999999999997E-2</v>
      </c>
      <c r="J75" s="94">
        <f t="shared" si="16"/>
        <v>20.347200000000001</v>
      </c>
      <c r="K75" s="94">
        <f t="shared" si="10"/>
        <v>6.4828008119498755</v>
      </c>
      <c r="L75" s="94">
        <f t="shared" si="11"/>
        <v>30.019450503135566</v>
      </c>
      <c r="M75" s="94">
        <f t="shared" si="12"/>
        <v>499.29597853374236</v>
      </c>
      <c r="N75" s="94">
        <f t="shared" si="13"/>
        <v>21632.004643303753</v>
      </c>
      <c r="O75" s="94">
        <f t="shared" si="17"/>
        <v>35.941545906531069</v>
      </c>
      <c r="P75" s="94">
        <f t="shared" si="14"/>
        <v>12.519665955383555</v>
      </c>
      <c r="Q75" s="94">
        <f t="shared" si="18"/>
        <v>45.070797439380797</v>
      </c>
      <c r="R75" s="94">
        <f t="shared" si="19"/>
        <v>41.075020853060586</v>
      </c>
      <c r="S75" s="128">
        <f t="shared" si="15"/>
        <v>71068.62000000001</v>
      </c>
      <c r="T75" s="135"/>
    </row>
    <row r="76" spans="8:20" x14ac:dyDescent="0.25">
      <c r="H76" s="9"/>
      <c r="I76" s="145">
        <v>3.6499999999999998E-2</v>
      </c>
      <c r="J76" s="94">
        <f t="shared" si="16"/>
        <v>20.629799999999999</v>
      </c>
      <c r="K76" s="94">
        <f t="shared" si="10"/>
        <v>6.5729191831425648</v>
      </c>
      <c r="L76" s="94">
        <f t="shared" si="11"/>
        <v>30.019994849076156</v>
      </c>
      <c r="M76" s="94">
        <f t="shared" si="12"/>
        <v>507.67213979878073</v>
      </c>
      <c r="N76" s="94">
        <f t="shared" si="13"/>
        <v>21994.901937030158</v>
      </c>
      <c r="O76" s="94">
        <f t="shared" si="17"/>
        <v>37.05183787457279</v>
      </c>
      <c r="P76" s="94">
        <f t="shared" si="14"/>
        <v>12.711571436121989</v>
      </c>
      <c r="Q76" s="94">
        <f t="shared" si="18"/>
        <v>45.761657170039157</v>
      </c>
      <c r="R76" s="94">
        <f t="shared" si="19"/>
        <v>41.704632030486465</v>
      </c>
      <c r="S76" s="128">
        <f t="shared" si="15"/>
        <v>71068.62000000001</v>
      </c>
      <c r="T76" s="135"/>
    </row>
    <row r="77" spans="8:20" x14ac:dyDescent="0.25">
      <c r="H77" s="9"/>
      <c r="I77" s="145">
        <v>3.6999999999999998E-2</v>
      </c>
      <c r="J77" s="94">
        <f t="shared" si="16"/>
        <v>20.912400000000002</v>
      </c>
      <c r="K77" s="94">
        <f t="shared" si="10"/>
        <v>6.663040845177675</v>
      </c>
      <c r="L77" s="94">
        <f t="shared" si="11"/>
        <v>30.020546720031092</v>
      </c>
      <c r="M77" s="94">
        <f t="shared" si="12"/>
        <v>516.16409274883085</v>
      </c>
      <c r="N77" s="94">
        <f t="shared" si="13"/>
        <v>22362.815906987733</v>
      </c>
      <c r="O77" s="94">
        <f t="shared" si="17"/>
        <v>38.18742837334505</v>
      </c>
      <c r="P77" s="94">
        <f t="shared" si="14"/>
        <v>12.904897856273294</v>
      </c>
      <c r="Q77" s="94">
        <f t="shared" si="18"/>
        <v>46.457632282583859</v>
      </c>
      <c r="R77" s="94">
        <f t="shared" si="19"/>
        <v>42.338905082775675</v>
      </c>
      <c r="S77" s="128">
        <f t="shared" si="15"/>
        <v>71068.62000000001</v>
      </c>
      <c r="T77" s="135"/>
    </row>
    <row r="78" spans="8:20" x14ac:dyDescent="0.25">
      <c r="H78" s="9"/>
      <c r="I78" s="145">
        <v>3.7499999999999999E-2</v>
      </c>
      <c r="J78" s="94">
        <f t="shared" si="16"/>
        <v>21.195</v>
      </c>
      <c r="K78" s="94">
        <f t="shared" si="10"/>
        <v>6.7531658432987802</v>
      </c>
      <c r="L78" s="94">
        <f t="shared" si="11"/>
        <v>30.021106116691328</v>
      </c>
      <c r="M78" s="94">
        <f t="shared" si="12"/>
        <v>524.7718480159815</v>
      </c>
      <c r="N78" s="94">
        <f t="shared" si="13"/>
        <v>22735.747013811862</v>
      </c>
      <c r="O78" s="94">
        <f t="shared" si="17"/>
        <v>39.348664744634007</v>
      </c>
      <c r="P78" s="94">
        <f t="shared" si="14"/>
        <v>13.099640121651523</v>
      </c>
      <c r="Q78" s="94">
        <f t="shared" si="18"/>
        <v>47.158704437945481</v>
      </c>
      <c r="R78" s="94">
        <f t="shared" si="19"/>
        <v>42.977823296719187</v>
      </c>
      <c r="S78" s="128">
        <f t="shared" si="15"/>
        <v>71068.62000000001</v>
      </c>
      <c r="T78" s="135"/>
    </row>
    <row r="79" spans="8:20" x14ac:dyDescent="0.25">
      <c r="H79" s="9"/>
      <c r="I79" s="145">
        <v>3.7999999999999999E-2</v>
      </c>
      <c r="J79" s="94">
        <f t="shared" si="16"/>
        <v>21.477600000000002</v>
      </c>
      <c r="K79" s="94">
        <f t="shared" si="10"/>
        <v>6.843294222756148</v>
      </c>
      <c r="L79" s="94">
        <f t="shared" si="11"/>
        <v>30.021673039757278</v>
      </c>
      <c r="M79" s="94">
        <f t="shared" si="12"/>
        <v>533.49541637790117</v>
      </c>
      <c r="N79" s="94">
        <f t="shared" si="13"/>
        <v>23113.69572444517</v>
      </c>
      <c r="O79" s="94">
        <f t="shared" si="17"/>
        <v>40.535894362393748</v>
      </c>
      <c r="P79" s="94">
        <f t="shared" si="14"/>
        <v>13.295792988403198</v>
      </c>
      <c r="Q79" s="94">
        <f t="shared" si="18"/>
        <v>47.864854758251518</v>
      </c>
      <c r="R79" s="94">
        <f t="shared" si="19"/>
        <v>43.62136946807275</v>
      </c>
      <c r="S79" s="128">
        <f t="shared" si="15"/>
        <v>71068.62000000001</v>
      </c>
      <c r="T79" s="135"/>
    </row>
    <row r="80" spans="8:20" x14ac:dyDescent="0.25">
      <c r="H80" s="9"/>
      <c r="I80" s="145">
        <v>3.85E-2</v>
      </c>
      <c r="J80" s="94">
        <f t="shared" si="16"/>
        <v>21.760200000000001</v>
      </c>
      <c r="K80" s="94">
        <f t="shared" si="10"/>
        <v>6.933426028806819</v>
      </c>
      <c r="L80" s="94">
        <f t="shared" si="11"/>
        <v>30.02224748993881</v>
      </c>
      <c r="M80" s="94">
        <f t="shared" si="12"/>
        <v>542.33480875772921</v>
      </c>
      <c r="N80" s="94">
        <f t="shared" si="13"/>
        <v>23496.662512132811</v>
      </c>
      <c r="O80" s="94">
        <f t="shared" si="17"/>
        <v>41.749464633174178</v>
      </c>
      <c r="P80" s="94">
        <f t="shared" si="14"/>
        <v>13.493351079368678</v>
      </c>
      <c r="Q80" s="94">
        <f t="shared" si="18"/>
        <v>48.576063885727237</v>
      </c>
      <c r="R80" s="94">
        <f t="shared" si="19"/>
        <v>44.269525955235935</v>
      </c>
      <c r="S80" s="128">
        <f t="shared" si="15"/>
        <v>71068.62000000001</v>
      </c>
      <c r="T80" s="135"/>
    </row>
    <row r="81" spans="8:20" x14ac:dyDescent="0.25">
      <c r="H81" s="9"/>
      <c r="I81" s="145">
        <v>3.9E-2</v>
      </c>
      <c r="J81" s="94">
        <f t="shared" si="16"/>
        <v>22.042800000000003</v>
      </c>
      <c r="K81" s="94">
        <f t="shared" si="10"/>
        <v>7.0235613067146989</v>
      </c>
      <c r="L81" s="94">
        <f t="shared" si="11"/>
        <v>30.022829467955244</v>
      </c>
      <c r="M81" s="94">
        <f t="shared" si="12"/>
        <v>551.29003622407549</v>
      </c>
      <c r="N81" s="94">
        <f t="shared" si="13"/>
        <v>23884.647856422445</v>
      </c>
      <c r="O81" s="94">
        <f t="shared" si="17"/>
        <v>42.989722996556637</v>
      </c>
      <c r="P81" s="94">
        <f t="shared" si="14"/>
        <v>13.692308899228891</v>
      </c>
      <c r="Q81" s="94">
        <f t="shared" si="18"/>
        <v>49.292312037224008</v>
      </c>
      <c r="R81" s="94">
        <f t="shared" si="19"/>
        <v>44.922274728946114</v>
      </c>
      <c r="S81" s="128">
        <f t="shared" si="15"/>
        <v>71068.62000000001</v>
      </c>
      <c r="T81" s="135"/>
    </row>
    <row r="82" spans="8:20" x14ac:dyDescent="0.25">
      <c r="H82" s="9"/>
      <c r="I82" s="145">
        <v>3.95E-2</v>
      </c>
      <c r="J82" s="94">
        <f t="shared" si="16"/>
        <v>22.325400000000002</v>
      </c>
      <c r="K82" s="94">
        <f t="shared" si="10"/>
        <v>7.1137001017506609</v>
      </c>
      <c r="L82" s="94">
        <f t="shared" si="11"/>
        <v>30.023418974535364</v>
      </c>
      <c r="M82" s="94">
        <f t="shared" si="12"/>
        <v>560.36110999112952</v>
      </c>
      <c r="N82" s="94">
        <f t="shared" si="13"/>
        <v>24277.652243168977</v>
      </c>
      <c r="O82" s="94">
        <f t="shared" si="17"/>
        <v>44.25701692559818</v>
      </c>
      <c r="P82" s="94">
        <f t="shared" si="14"/>
        <v>13.89266084852374</v>
      </c>
      <c r="Q82" s="94">
        <f t="shared" si="18"/>
        <v>50.013579054685465</v>
      </c>
      <c r="R82" s="94">
        <f t="shared" si="19"/>
        <v>45.579597418270623</v>
      </c>
      <c r="S82" s="128">
        <f t="shared" si="15"/>
        <v>71068.62000000001</v>
      </c>
      <c r="T82" s="135"/>
    </row>
    <row r="83" spans="8:20" x14ac:dyDescent="0.25">
      <c r="H83" s="9"/>
      <c r="I83" s="145">
        <v>0.04</v>
      </c>
      <c r="J83" s="94">
        <f t="shared" si="16"/>
        <v>22.608000000000001</v>
      </c>
      <c r="K83" s="94">
        <f t="shared" si="10"/>
        <v>7.2038424591926224</v>
      </c>
      <c r="L83" s="94">
        <f t="shared" si="11"/>
        <v>30.024016010417423</v>
      </c>
      <c r="M83" s="94">
        <f t="shared" si="12"/>
        <v>569.54804141882505</v>
      </c>
      <c r="N83" s="94">
        <f t="shared" si="13"/>
        <v>24675.676164541685</v>
      </c>
      <c r="O83" s="94">
        <f t="shared" si="17"/>
        <v>45.551693927280702</v>
      </c>
      <c r="P83" s="94">
        <f t="shared" si="14"/>
        <v>14.094401236621447</v>
      </c>
      <c r="Q83" s="94">
        <f t="shared" si="18"/>
        <v>50.739844451837214</v>
      </c>
      <c r="R83" s="94">
        <f t="shared" si="19"/>
        <v>46.241475353157107</v>
      </c>
      <c r="S83" s="128">
        <f t="shared" si="15"/>
        <v>71068.62000000001</v>
      </c>
      <c r="T83" s="135"/>
    </row>
    <row r="84" spans="8:20" x14ac:dyDescent="0.25">
      <c r="H84" s="9"/>
      <c r="I84" s="145">
        <v>4.0500000000000001E-2</v>
      </c>
      <c r="J84" s="94">
        <f t="shared" si="16"/>
        <v>22.890600000000003</v>
      </c>
      <c r="K84" s="94">
        <f t="shared" si="10"/>
        <v>7.293988424325641</v>
      </c>
      <c r="L84" s="94">
        <f t="shared" si="11"/>
        <v>30.024620576349133</v>
      </c>
      <c r="M84" s="94">
        <f t="shared" si="12"/>
        <v>578.85084201262089</v>
      </c>
      <c r="N84" s="94">
        <f t="shared" si="13"/>
        <v>25078.720119014713</v>
      </c>
      <c r="O84" s="94">
        <f t="shared" si="17"/>
        <v>46.874101542930035</v>
      </c>
      <c r="P84" s="94">
        <f t="shared" si="14"/>
        <v>14.297524293707783</v>
      </c>
      <c r="Q84" s="94">
        <f t="shared" si="18"/>
        <v>51.47108745734802</v>
      </c>
      <c r="R84" s="94">
        <f t="shared" si="19"/>
        <v>46.90788960376824</v>
      </c>
      <c r="S84" s="128">
        <f t="shared" si="15"/>
        <v>71068.62000000001</v>
      </c>
      <c r="T84" s="135"/>
    </row>
    <row r="85" spans="8:20" x14ac:dyDescent="0.25">
      <c r="H85" s="9"/>
      <c r="I85" s="145">
        <v>4.1000000000000002E-2</v>
      </c>
      <c r="J85" s="94">
        <f t="shared" si="16"/>
        <v>23.173200000000001</v>
      </c>
      <c r="K85" s="94">
        <f t="shared" si="10"/>
        <v>7.3841380424420127</v>
      </c>
      <c r="L85" s="94">
        <f t="shared" si="11"/>
        <v>30.025232673087665</v>
      </c>
      <c r="M85" s="94">
        <f t="shared" si="12"/>
        <v>588.26952342355571</v>
      </c>
      <c r="N85" s="94">
        <f t="shared" si="13"/>
        <v>25486.784611369465</v>
      </c>
      <c r="O85" s="94">
        <f t="shared" si="17"/>
        <v>48.224587348656023</v>
      </c>
      <c r="P85" s="94">
        <f t="shared" si="14"/>
        <v>14.502024181872297</v>
      </c>
      <c r="Q85" s="94">
        <f t="shared" si="18"/>
        <v>52.20728705474027</v>
      </c>
      <c r="R85" s="94">
        <f t="shared" si="19"/>
        <v>47.578821016853908</v>
      </c>
      <c r="S85" s="128">
        <f t="shared" si="15"/>
        <v>71068.62000000001</v>
      </c>
      <c r="T85" s="135"/>
    </row>
    <row r="86" spans="8:20" x14ac:dyDescent="0.25">
      <c r="H86" s="9"/>
      <c r="I86" s="145">
        <v>4.1500000000000002E-2</v>
      </c>
      <c r="J86" s="94">
        <f t="shared" si="16"/>
        <v>23.455800000000004</v>
      </c>
      <c r="K86" s="94">
        <f t="shared" si="10"/>
        <v>7.474291358841354</v>
      </c>
      <c r="L86" s="94">
        <f t="shared" si="11"/>
        <v>30.025852301399674</v>
      </c>
      <c r="M86" s="94">
        <f t="shared" si="12"/>
        <v>597.80409744857627</v>
      </c>
      <c r="N86" s="94">
        <f t="shared" si="13"/>
        <v>25899.870152708809</v>
      </c>
      <c r="O86" s="94">
        <f t="shared" si="17"/>
        <v>49.603498955815503</v>
      </c>
      <c r="P86" s="94">
        <f t="shared" si="14"/>
        <v>14.707895005355564</v>
      </c>
      <c r="Q86" s="94">
        <f t="shared" si="18"/>
        <v>52.948422019280031</v>
      </c>
      <c r="R86" s="94">
        <f t="shared" si="19"/>
        <v>48.254250249370749</v>
      </c>
      <c r="S86" s="128">
        <f t="shared" si="15"/>
        <v>71068.62000000001</v>
      </c>
      <c r="T86" s="135"/>
    </row>
    <row r="87" spans="8:20" x14ac:dyDescent="0.25">
      <c r="H87" s="9"/>
      <c r="I87" s="145">
        <v>4.2000000000000003E-2</v>
      </c>
      <c r="J87" s="94">
        <f t="shared" si="16"/>
        <v>23.738400000000002</v>
      </c>
      <c r="K87" s="94">
        <f t="shared" si="10"/>
        <v>7.5644484188306951</v>
      </c>
      <c r="L87" s="94">
        <f t="shared" si="11"/>
        <v>30.026479462061275</v>
      </c>
      <c r="M87" s="94">
        <f t="shared" si="12"/>
        <v>607.45457603020895</v>
      </c>
      <c r="N87" s="94">
        <f t="shared" si="13"/>
        <v>26317.977260442851</v>
      </c>
      <c r="O87" s="94">
        <f t="shared" si="17"/>
        <v>51.011184011422124</v>
      </c>
      <c r="P87" s="94">
        <f t="shared" si="14"/>
        <v>14.91513082000559</v>
      </c>
      <c r="Q87" s="94">
        <f t="shared" si="18"/>
        <v>53.694470952020126</v>
      </c>
      <c r="R87" s="94">
        <f t="shared" si="19"/>
        <v>48.93415779950714</v>
      </c>
      <c r="S87" s="128">
        <f t="shared" si="15"/>
        <v>71068.62000000001</v>
      </c>
      <c r="T87" s="135"/>
    </row>
    <row r="88" spans="8:20" x14ac:dyDescent="0.25">
      <c r="H88" s="9"/>
      <c r="I88" s="145">
        <v>4.2500000000000003E-2</v>
      </c>
      <c r="J88" s="94">
        <f t="shared" si="16"/>
        <v>24.021000000000004</v>
      </c>
      <c r="K88" s="94">
        <f t="shared" si="10"/>
        <v>7.6546092677245774</v>
      </c>
      <c r="L88" s="94">
        <f t="shared" si="11"/>
        <v>30.027114155858062</v>
      </c>
      <c r="M88" s="94">
        <f t="shared" si="12"/>
        <v>617.22097125683376</v>
      </c>
      <c r="N88" s="94">
        <f t="shared" si="13"/>
        <v>26741.106458300812</v>
      </c>
      <c r="O88" s="94">
        <f t="shared" si="17"/>
        <v>52.447990198605147</v>
      </c>
      <c r="P88" s="94">
        <f t="shared" si="14"/>
        <v>15.123725642014142</v>
      </c>
      <c r="Q88" s="94">
        <f t="shared" si="18"/>
        <v>54.445412311250912</v>
      </c>
      <c r="R88" s="94">
        <f t="shared" si="19"/>
        <v>49.618524035345679</v>
      </c>
      <c r="S88" s="128">
        <f t="shared" si="15"/>
        <v>71068.62000000001</v>
      </c>
      <c r="T88" s="135"/>
    </row>
    <row r="89" spans="8:20" x14ac:dyDescent="0.25">
      <c r="H89" s="9"/>
      <c r="I89" s="145">
        <v>4.2999999999999997E-2</v>
      </c>
      <c r="J89" s="94">
        <f t="shared" si="16"/>
        <v>24.303599999999999</v>
      </c>
      <c r="K89" s="94">
        <f t="shared" si="10"/>
        <v>7.7447739508451345</v>
      </c>
      <c r="L89" s="94">
        <f t="shared" si="11"/>
        <v>30.027756383585103</v>
      </c>
      <c r="M89" s="94">
        <f t="shared" si="12"/>
        <v>627.10329536262884</v>
      </c>
      <c r="N89" s="94">
        <f t="shared" si="13"/>
        <v>27169.258276328612</v>
      </c>
      <c r="O89" s="94">
        <f t="shared" si="17"/>
        <v>53.914265237041626</v>
      </c>
      <c r="P89" s="94">
        <f t="shared" si="14"/>
        <v>15.333673455972967</v>
      </c>
      <c r="Q89" s="94">
        <f t="shared" si="18"/>
        <v>55.201224441502681</v>
      </c>
      <c r="R89" s="94">
        <f t="shared" si="19"/>
        <v>50.307329221294346</v>
      </c>
      <c r="S89" s="128">
        <f t="shared" si="15"/>
        <v>71068.62000000001</v>
      </c>
      <c r="T89" s="135"/>
    </row>
    <row r="90" spans="8:20" x14ac:dyDescent="0.25">
      <c r="H90" s="9"/>
      <c r="I90" s="145">
        <v>4.3499999999999997E-2</v>
      </c>
      <c r="J90" s="94">
        <f t="shared" si="16"/>
        <v>24.586200000000002</v>
      </c>
      <c r="K90" s="94">
        <f t="shared" si="10"/>
        <v>7.8349425135221971</v>
      </c>
      <c r="L90" s="94">
        <f t="shared" si="11"/>
        <v>30.028406146046944</v>
      </c>
      <c r="M90" s="94">
        <f t="shared" si="12"/>
        <v>637.10156072757104</v>
      </c>
      <c r="N90" s="94">
        <f t="shared" si="13"/>
        <v>27602.433250888909</v>
      </c>
      <c r="O90" s="94">
        <f t="shared" si="17"/>
        <v>55.4103568833929</v>
      </c>
      <c r="P90" s="94">
        <f t="shared" si="14"/>
        <v>15.544968222302431</v>
      </c>
      <c r="Q90" s="94">
        <f t="shared" si="18"/>
        <v>55.961885600288753</v>
      </c>
      <c r="R90" s="94">
        <f t="shared" si="19"/>
        <v>51.000553542458711</v>
      </c>
      <c r="S90" s="128">
        <f t="shared" si="15"/>
        <v>71068.62000000001</v>
      </c>
      <c r="T90" s="135"/>
    </row>
    <row r="91" spans="8:20" x14ac:dyDescent="0.25">
      <c r="H91" s="9"/>
      <c r="I91" s="145">
        <v>4.3999999999999997E-2</v>
      </c>
      <c r="J91" s="94">
        <f t="shared" si="16"/>
        <v>24.8688</v>
      </c>
      <c r="K91" s="94">
        <f t="shared" si="10"/>
        <v>7.9251150010933671</v>
      </c>
      <c r="L91" s="94">
        <f t="shared" si="11"/>
        <v>30.02906344405762</v>
      </c>
      <c r="M91" s="94">
        <f t="shared" si="12"/>
        <v>647.21577987770945</v>
      </c>
      <c r="N91" s="94">
        <f t="shared" si="13"/>
        <v>28040.63192467294</v>
      </c>
      <c r="O91" s="94">
        <f t="shared" si="17"/>
        <v>56.936612931765104</v>
      </c>
      <c r="P91" s="94">
        <f t="shared" si="14"/>
        <v>15.757603884099609</v>
      </c>
      <c r="Q91" s="94">
        <f t="shared" si="18"/>
        <v>56.727373982758586</v>
      </c>
      <c r="R91" s="94">
        <f t="shared" si="19"/>
        <v>51.698177127109361</v>
      </c>
      <c r="S91" s="128">
        <f t="shared" si="15"/>
        <v>71068.62000000001</v>
      </c>
      <c r="T91" s="135"/>
    </row>
    <row r="92" spans="8:20" x14ac:dyDescent="0.25">
      <c r="H92" s="9"/>
      <c r="I92" s="145">
        <v>4.4499999999999998E-2</v>
      </c>
      <c r="J92" s="94">
        <f t="shared" si="16"/>
        <v>25.151400000000002</v>
      </c>
      <c r="K92" s="94">
        <f t="shared" si="10"/>
        <v>8.0152914589041249</v>
      </c>
      <c r="L92" s="94">
        <f t="shared" si="11"/>
        <v>30.029728278440636</v>
      </c>
      <c r="M92" s="94">
        <f t="shared" si="12"/>
        <v>657.44596548478194</v>
      </c>
      <c r="N92" s="94">
        <f t="shared" si="13"/>
        <v>28483.854846683909</v>
      </c>
      <c r="O92" s="94">
        <f t="shared" si="17"/>
        <v>58.493381214112731</v>
      </c>
      <c r="P92" s="94">
        <f t="shared" si="14"/>
        <v>15.971574373435811</v>
      </c>
      <c r="Q92" s="94">
        <f t="shared" si="18"/>
        <v>57.497667744368925</v>
      </c>
      <c r="R92" s="94">
        <f t="shared" si="19"/>
        <v>52.400180067343143</v>
      </c>
      <c r="S92" s="128">
        <f t="shared" si="15"/>
        <v>71068.62000000001</v>
      </c>
      <c r="T92" s="135"/>
    </row>
    <row r="93" spans="8:20" x14ac:dyDescent="0.25">
      <c r="H93" s="9"/>
      <c r="I93" s="145">
        <v>4.4999999999999998E-2</v>
      </c>
      <c r="J93" s="94">
        <f t="shared" si="16"/>
        <v>25.434000000000001</v>
      </c>
      <c r="K93" s="94">
        <f t="shared" si="10"/>
        <v>8.1054719323079123</v>
      </c>
      <c r="L93" s="94">
        <f t="shared" si="11"/>
        <v>30.030400650028998</v>
      </c>
      <c r="M93" s="94">
        <f t="shared" si="12"/>
        <v>667.79213036670797</v>
      </c>
      <c r="N93" s="94">
        <f t="shared" si="13"/>
        <v>28932.10257225834</v>
      </c>
      <c r="O93" s="94">
        <f t="shared" si="17"/>
        <v>60.081009600718637</v>
      </c>
      <c r="P93" s="94">
        <f t="shared" si="14"/>
        <v>16.186873617160607</v>
      </c>
      <c r="Q93" s="94">
        <f t="shared" si="18"/>
        <v>58.272745021778192</v>
      </c>
      <c r="R93" s="94">
        <f t="shared" si="19"/>
        <v>53.10654243812521</v>
      </c>
      <c r="S93" s="128">
        <f t="shared" si="15"/>
        <v>71068.62000000001</v>
      </c>
      <c r="T93" s="135"/>
    </row>
    <row r="94" spans="8:20" x14ac:dyDescent="0.25">
      <c r="H94" s="9"/>
      <c r="I94" s="145">
        <v>4.5499999999999999E-2</v>
      </c>
      <c r="J94" s="94">
        <f t="shared" si="16"/>
        <v>25.7166</v>
      </c>
      <c r="K94" s="94">
        <f t="shared" si="10"/>
        <v>8.195656466666227</v>
      </c>
      <c r="L94" s="94">
        <f t="shared" si="11"/>
        <v>30.031080559665185</v>
      </c>
      <c r="M94" s="94">
        <f t="shared" si="12"/>
        <v>678.25428748720515</v>
      </c>
      <c r="N94" s="94">
        <f t="shared" si="13"/>
        <v>29385.375663049464</v>
      </c>
      <c r="O94" s="94">
        <f t="shared" si="17"/>
        <v>61.699846000597169</v>
      </c>
      <c r="P94" s="94">
        <f t="shared" si="14"/>
        <v>16.403495542226739</v>
      </c>
      <c r="Q94" s="94">
        <f t="shared" si="18"/>
        <v>59.052583952016263</v>
      </c>
      <c r="R94" s="94">
        <f t="shared" si="19"/>
        <v>53.817244314759172</v>
      </c>
      <c r="S94" s="128">
        <f t="shared" si="15"/>
        <v>71068.62000000001</v>
      </c>
      <c r="T94" s="135"/>
    </row>
    <row r="95" spans="8:20" x14ac:dyDescent="0.25">
      <c r="H95" s="9"/>
      <c r="I95" s="145">
        <v>4.5999999999999999E-2</v>
      </c>
      <c r="J95" s="94">
        <f t="shared" si="16"/>
        <v>25.999200000000002</v>
      </c>
      <c r="K95" s="94">
        <f t="shared" si="10"/>
        <v>8.2858451073487132</v>
      </c>
      <c r="L95" s="94">
        <f t="shared" si="11"/>
        <v>30.03176800820118</v>
      </c>
      <c r="M95" s="94">
        <f t="shared" si="12"/>
        <v>688.83244995622749</v>
      </c>
      <c r="N95" s="94">
        <f t="shared" si="13"/>
        <v>29843.674687046208</v>
      </c>
      <c r="O95" s="94">
        <f t="shared" si="17"/>
        <v>63.350238361970511</v>
      </c>
      <c r="P95" s="94">
        <f t="shared" si="14"/>
        <v>16.621434080589754</v>
      </c>
      <c r="Q95" s="94">
        <f t="shared" si="18"/>
        <v>59.837162690123115</v>
      </c>
      <c r="R95" s="94">
        <f t="shared" si="19"/>
        <v>54.532265788962086</v>
      </c>
      <c r="S95" s="128">
        <f t="shared" si="15"/>
        <v>71068.62000000001</v>
      </c>
      <c r="T95" s="135"/>
    </row>
    <row r="96" spans="8:20" x14ac:dyDescent="0.25">
      <c r="H96" s="9"/>
      <c r="I96" s="145">
        <v>4.65E-2</v>
      </c>
      <c r="J96" s="94">
        <f t="shared" si="16"/>
        <v>26.2818</v>
      </c>
      <c r="K96" s="94">
        <f t="shared" si="10"/>
        <v>8.3760378997332552</v>
      </c>
      <c r="L96" s="94">
        <f t="shared" si="11"/>
        <v>30.03246299649846</v>
      </c>
      <c r="M96" s="94">
        <f t="shared" si="12"/>
        <v>699.52663102980068</v>
      </c>
      <c r="N96" s="94">
        <f t="shared" si="13"/>
        <v>30307.000218566052</v>
      </c>
      <c r="O96" s="94">
        <f t="shared" si="17"/>
        <v>65.032534672691497</v>
      </c>
      <c r="P96" s="94">
        <f t="shared" si="14"/>
        <v>16.840683173695968</v>
      </c>
      <c r="Q96" s="94">
        <f t="shared" si="18"/>
        <v>60.626459425305491</v>
      </c>
      <c r="R96" s="94">
        <f t="shared" si="19"/>
        <v>55.25158698358868</v>
      </c>
      <c r="S96" s="128">
        <f t="shared" si="15"/>
        <v>71068.62000000001</v>
      </c>
      <c r="T96" s="135"/>
    </row>
    <row r="97" spans="8:20" x14ac:dyDescent="0.25">
      <c r="H97" s="9"/>
      <c r="I97" s="145">
        <v>4.7E-2</v>
      </c>
      <c r="J97" s="94">
        <f t="shared" si="16"/>
        <v>26.564400000000003</v>
      </c>
      <c r="K97" s="94">
        <f t="shared" si="10"/>
        <v>8.4662348892060599</v>
      </c>
      <c r="L97" s="94">
        <f t="shared" si="11"/>
        <v>30.033165525427982</v>
      </c>
      <c r="M97" s="94">
        <f t="shared" si="12"/>
        <v>710.33684410985825</v>
      </c>
      <c r="N97" s="94">
        <f t="shared" si="13"/>
        <v>30775.352838247938</v>
      </c>
      <c r="O97" s="94">
        <f t="shared" si="17"/>
        <v>66.747082960665338</v>
      </c>
      <c r="P97" s="94">
        <f t="shared" si="14"/>
        <v>17.061236776594836</v>
      </c>
      <c r="Q97" s="94">
        <f t="shared" si="18"/>
        <v>61.4204523957414</v>
      </c>
      <c r="R97" s="94">
        <f t="shared" si="19"/>
        <v>55.975188066123401</v>
      </c>
      <c r="S97" s="128">
        <f t="shared" si="15"/>
        <v>71068.62000000001</v>
      </c>
      <c r="T97" s="135"/>
    </row>
    <row r="98" spans="8:20" x14ac:dyDescent="0.25">
      <c r="H98" s="9"/>
      <c r="I98" s="145">
        <v>4.7500000000000001E-2</v>
      </c>
      <c r="J98" s="94">
        <f t="shared" si="16"/>
        <v>26.847000000000001</v>
      </c>
      <c r="K98" s="94">
        <f t="shared" si="10"/>
        <v>8.556436121161763</v>
      </c>
      <c r="L98" s="94">
        <f t="shared" si="11"/>
        <v>30.033875595870224</v>
      </c>
      <c r="M98" s="94">
        <f t="shared" si="12"/>
        <v>721.26310274478851</v>
      </c>
      <c r="N98" s="94">
        <f t="shared" si="13"/>
        <v>31248.733133075959</v>
      </c>
      <c r="O98" s="94">
        <f t="shared" si="17"/>
        <v>68.494231294337894</v>
      </c>
      <c r="P98" s="94">
        <f t="shared" si="14"/>
        <v>17.283088861710979</v>
      </c>
      <c r="Q98" s="94">
        <f t="shared" si="18"/>
        <v>62.219119902159527</v>
      </c>
      <c r="R98" s="94">
        <f t="shared" si="19"/>
        <v>56.703049261055845</v>
      </c>
      <c r="S98" s="128">
        <f t="shared" si="15"/>
        <v>71068.62000000001</v>
      </c>
      <c r="T98" s="135"/>
    </row>
    <row r="99" spans="8:20" x14ac:dyDescent="0.25">
      <c r="H99" s="9"/>
      <c r="I99" s="145">
        <v>4.8000000000000001E-2</v>
      </c>
      <c r="J99" s="94">
        <f t="shared" si="16"/>
        <v>27.129600000000003</v>
      </c>
      <c r="K99" s="94">
        <f t="shared" si="10"/>
        <v>8.6466416410035105</v>
      </c>
      <c r="L99" s="94">
        <f t="shared" si="11"/>
        <v>30.034593208715147</v>
      </c>
      <c r="M99" s="94">
        <f t="shared" si="12"/>
        <v>732.30542062894199</v>
      </c>
      <c r="N99" s="94">
        <f t="shared" si="13"/>
        <v>31727.14169635803</v>
      </c>
      <c r="O99" s="94">
        <f t="shared" si="17"/>
        <v>70.27432778308723</v>
      </c>
      <c r="P99" s="94">
        <f t="shared" si="14"/>
        <v>17.50623342227966</v>
      </c>
      <c r="Q99" s="94">
        <f t="shared" si="18"/>
        <v>63.022440320206769</v>
      </c>
      <c r="R99" s="94">
        <f t="shared" si="19"/>
        <v>57.435150861151996</v>
      </c>
      <c r="S99" s="128">
        <f t="shared" si="15"/>
        <v>71068.62000000001</v>
      </c>
      <c r="T99" s="135"/>
    </row>
    <row r="100" spans="8:20" x14ac:dyDescent="0.25">
      <c r="H100" s="9"/>
      <c r="I100" s="145">
        <v>4.8500000000000001E-2</v>
      </c>
      <c r="J100" s="94">
        <f t="shared" si="16"/>
        <v>27.412200000000002</v>
      </c>
      <c r="K100" s="94">
        <f t="shared" si="10"/>
        <v>8.7368514941430568</v>
      </c>
      <c r="L100" s="94">
        <f t="shared" si="11"/>
        <v>30.035318364862238</v>
      </c>
      <c r="M100" s="94">
        <f t="shared" si="12"/>
        <v>743.46381160323347</v>
      </c>
      <c r="N100" s="94">
        <f t="shared" si="13"/>
        <v>32210.579127751964</v>
      </c>
      <c r="O100" s="94">
        <f t="shared" si="17"/>
        <v>72.087720577718329</v>
      </c>
      <c r="P100" s="94">
        <f t="shared" si="14"/>
        <v>17.730664475494507</v>
      </c>
      <c r="Q100" s="94">
        <f t="shared" si="18"/>
        <v>63.830392111780228</v>
      </c>
      <c r="R100" s="94">
        <f t="shared" si="19"/>
        <v>58.171473237781399</v>
      </c>
      <c r="S100" s="128">
        <f t="shared" si="15"/>
        <v>71068.62000000001</v>
      </c>
      <c r="T100" s="135"/>
    </row>
    <row r="101" spans="8:20" x14ac:dyDescent="0.25">
      <c r="H101" s="9"/>
      <c r="I101" s="145">
        <v>4.9000000000000002E-2</v>
      </c>
      <c r="J101" s="94">
        <f t="shared" si="16"/>
        <v>27.694800000000004</v>
      </c>
      <c r="K101" s="94">
        <f t="shared" si="10"/>
        <v>8.8270657260008463</v>
      </c>
      <c r="L101" s="94">
        <f t="shared" si="11"/>
        <v>30.03605106522047</v>
      </c>
      <c r="M101" s="94">
        <f t="shared" si="12"/>
        <v>754.73828965454027</v>
      </c>
      <c r="N101" s="94">
        <f t="shared" si="13"/>
        <v>32699.046033239392</v>
      </c>
      <c r="O101" s="94">
        <f t="shared" si="17"/>
        <v>73.934757870843413</v>
      </c>
      <c r="P101" s="94">
        <f t="shared" si="14"/>
        <v>17.956376065361461</v>
      </c>
      <c r="Q101" s="94">
        <f t="shared" si="18"/>
        <v>64.64295383530127</v>
      </c>
      <c r="R101" s="94">
        <f t="shared" si="19"/>
        <v>58.911996850280495</v>
      </c>
      <c r="S101" s="128">
        <f t="shared" si="15"/>
        <v>71068.62000000001</v>
      </c>
      <c r="T101" s="135"/>
    </row>
    <row r="102" spans="8:20" x14ac:dyDescent="0.25">
      <c r="H102" s="9"/>
      <c r="I102" s="145">
        <v>4.9500000000000002E-2</v>
      </c>
      <c r="J102" s="94">
        <f t="shared" si="16"/>
        <v>27.977400000000003</v>
      </c>
      <c r="K102" s="94">
        <f t="shared" si="10"/>
        <v>8.9172843820061161</v>
      </c>
      <c r="L102" s="94">
        <f t="shared" si="11"/>
        <v>30.036791310708335</v>
      </c>
      <c r="M102" s="94">
        <f t="shared" si="12"/>
        <v>766.12886891624873</v>
      </c>
      <c r="N102" s="94">
        <f t="shared" si="13"/>
        <v>33192.543025149462</v>
      </c>
      <c r="O102" s="94">
        <f t="shared" si="17"/>
        <v>75.81578789737209</v>
      </c>
      <c r="P102" s="94">
        <f t="shared" si="14"/>
        <v>18.183362265307096</v>
      </c>
      <c r="Q102" s="94">
        <f t="shared" si="18"/>
        <v>65.460104155105554</v>
      </c>
      <c r="R102" s="94">
        <f t="shared" si="19"/>
        <v>59.65670225451013</v>
      </c>
      <c r="S102" s="128">
        <f t="shared" si="15"/>
        <v>71068.62000000001</v>
      </c>
      <c r="T102" s="135"/>
    </row>
    <row r="103" spans="8:20" x14ac:dyDescent="0.25">
      <c r="H103" s="9"/>
      <c r="I103" s="145">
        <v>0.05</v>
      </c>
      <c r="J103" s="94">
        <f t="shared" si="16"/>
        <v>28.260000000000005</v>
      </c>
      <c r="K103" s="94">
        <f t="shared" si="10"/>
        <v>9.0075075075969835</v>
      </c>
      <c r="L103" s="94">
        <f t="shared" si="11"/>
        <v>30.037539102253838</v>
      </c>
      <c r="M103" s="94">
        <f t="shared" si="12"/>
        <v>777.63556366809087</v>
      </c>
      <c r="N103" s="94">
        <f t="shared" si="13"/>
        <v>33691.070722151744</v>
      </c>
      <c r="O103" s="94">
        <f t="shared" si="17"/>
        <v>77.731158934933745</v>
      </c>
      <c r="P103" s="94">
        <f t="shared" si="14"/>
        <v>18.411617180537746</v>
      </c>
      <c r="Q103" s="94">
        <f t="shared" si="18"/>
        <v>66.281821849935881</v>
      </c>
      <c r="R103" s="94">
        <f t="shared" si="19"/>
        <v>60.405570110595455</v>
      </c>
      <c r="S103" s="128">
        <f t="shared" si="15"/>
        <v>71068.62000000001</v>
      </c>
      <c r="T103" s="135"/>
    </row>
    <row r="104" spans="8:20" x14ac:dyDescent="0.25">
      <c r="H104" s="9"/>
      <c r="I104" s="145">
        <v>5.0500000000000003E-2</v>
      </c>
      <c r="J104" s="94">
        <f t="shared" si="16"/>
        <v>28.542600000000004</v>
      </c>
      <c r="K104" s="94">
        <f t="shared" si="10"/>
        <v>9.0977351482205346</v>
      </c>
      <c r="L104" s="94">
        <f t="shared" si="11"/>
        <v>30.038294440794498</v>
      </c>
      <c r="M104" s="94">
        <f t="shared" si="12"/>
        <v>789.2583883361981</v>
      </c>
      <c r="N104" s="94">
        <f t="shared" si="13"/>
        <v>34194.629749258573</v>
      </c>
      <c r="O104" s="94">
        <f t="shared" si="17"/>
        <v>79.681219304320805</v>
      </c>
      <c r="P104" s="94">
        <f t="shared" si="14"/>
        <v>18.641134950177861</v>
      </c>
      <c r="Q104" s="94">
        <f t="shared" si="18"/>
        <v>67.108085820640298</v>
      </c>
      <c r="R104" s="94">
        <f t="shared" si="19"/>
        <v>61.158581189941536</v>
      </c>
      <c r="S104" s="128">
        <f t="shared" si="15"/>
        <v>71068.62000000001</v>
      </c>
      <c r="T104" s="135"/>
    </row>
    <row r="105" spans="8:20" x14ac:dyDescent="0.25">
      <c r="H105" s="9"/>
      <c r="I105" s="145">
        <v>5.0999999999999997E-2</v>
      </c>
      <c r="J105" s="94">
        <f t="shared" si="16"/>
        <v>28.825199999999999</v>
      </c>
      <c r="K105" s="94">
        <f t="shared" si="10"/>
        <v>9.1879673493329257</v>
      </c>
      <c r="L105" s="94">
        <f t="shared" si="11"/>
        <v>30.039057327277362</v>
      </c>
      <c r="M105" s="94">
        <f t="shared" si="12"/>
        <v>800.99735749332058</v>
      </c>
      <c r="N105" s="94">
        <f t="shared" si="13"/>
        <v>34703.220737834519</v>
      </c>
      <c r="O105" s="94">
        <f t="shared" si="17"/>
        <v>81.666317369949084</v>
      </c>
      <c r="P105" s="94">
        <f t="shared" si="14"/>
        <v>18.871909749203098</v>
      </c>
      <c r="Q105" s="94">
        <f t="shared" si="18"/>
        <v>67.938875097131159</v>
      </c>
      <c r="R105" s="94">
        <f t="shared" si="19"/>
        <v>61.915716381575493</v>
      </c>
      <c r="S105" s="128">
        <f t="shared" si="15"/>
        <v>71068.62000000001</v>
      </c>
      <c r="T105" s="135"/>
    </row>
    <row r="106" spans="8:20" x14ac:dyDescent="0.25">
      <c r="H106" s="9"/>
      <c r="I106" s="145">
        <v>5.1499999999999997E-2</v>
      </c>
      <c r="J106" s="94">
        <f t="shared" si="16"/>
        <v>29.107800000000001</v>
      </c>
      <c r="K106" s="94">
        <f t="shared" si="10"/>
        <v>9.2782041563994628</v>
      </c>
      <c r="L106" s="94">
        <f t="shared" si="11"/>
        <v>30.039827762658984</v>
      </c>
      <c r="M106" s="94">
        <f t="shared" si="12"/>
        <v>812.85248585849934</v>
      </c>
      <c r="N106" s="94">
        <f t="shared" si="13"/>
        <v>35216.844325582242</v>
      </c>
      <c r="O106" s="94">
        <f t="shared" si="17"/>
        <v>83.686801540262877</v>
      </c>
      <c r="P106" s="94">
        <f t="shared" si="14"/>
        <v>19.103935790174724</v>
      </c>
      <c r="Q106" s="94">
        <f t="shared" si="18"/>
        <v>68.774168844629003</v>
      </c>
      <c r="R106" s="94">
        <f t="shared" si="19"/>
        <v>62.676956697836843</v>
      </c>
      <c r="S106" s="128">
        <f t="shared" si="15"/>
        <v>71068.62000000001</v>
      </c>
      <c r="T106" s="135"/>
    </row>
    <row r="107" spans="8:20" x14ac:dyDescent="0.25">
      <c r="H107" s="9"/>
      <c r="I107" s="145">
        <v>5.1999999999999998E-2</v>
      </c>
      <c r="J107" s="94">
        <f t="shared" si="16"/>
        <v>29.3904</v>
      </c>
      <c r="K107" s="94">
        <f t="shared" si="10"/>
        <v>9.3684456148947053</v>
      </c>
      <c r="L107" s="94">
        <f t="shared" si="11"/>
        <v>30.040605747905452</v>
      </c>
      <c r="M107" s="94">
        <f t="shared" si="12"/>
        <v>824.82378829750314</v>
      </c>
      <c r="N107" s="94">
        <f t="shared" si="13"/>
        <v>35735.501156561353</v>
      </c>
      <c r="O107" s="94">
        <f t="shared" si="17"/>
        <v>85.743020268217691</v>
      </c>
      <c r="P107" s="94">
        <f t="shared" si="14"/>
        <v>19.337207324804826</v>
      </c>
      <c r="Q107" s="94">
        <f t="shared" si="18"/>
        <v>69.613946369297381</v>
      </c>
      <c r="R107" s="94">
        <f t="shared" si="19"/>
        <v>63.442283279512665</v>
      </c>
      <c r="S107" s="128">
        <f t="shared" si="15"/>
        <v>71068.62000000001</v>
      </c>
      <c r="T107" s="135"/>
    </row>
    <row r="108" spans="8:20" x14ac:dyDescent="0.25">
      <c r="H108" s="9"/>
      <c r="I108" s="145">
        <v>5.2499999999999998E-2</v>
      </c>
      <c r="J108" s="94">
        <f t="shared" si="16"/>
        <v>29.673000000000002</v>
      </c>
      <c r="K108" s="94">
        <f t="shared" si="10"/>
        <v>9.4586917703025453</v>
      </c>
      <c r="L108" s="94">
        <f t="shared" si="11"/>
        <v>30.041391283992375</v>
      </c>
      <c r="M108" s="94">
        <f t="shared" si="12"/>
        <v>836.91127982255523</v>
      </c>
      <c r="N108" s="94">
        <f t="shared" si="13"/>
        <v>36259.191881176608</v>
      </c>
      <c r="O108" s="94">
        <f t="shared" si="17"/>
        <v>87.835322051690724</v>
      </c>
      <c r="P108" s="94">
        <f t="shared" si="14"/>
        <v>19.571718645347904</v>
      </c>
      <c r="Q108" s="94">
        <f t="shared" si="18"/>
        <v>70.458187123252458</v>
      </c>
      <c r="R108" s="94">
        <f t="shared" si="19"/>
        <v>64.211677400403218</v>
      </c>
      <c r="S108" s="128">
        <f t="shared" si="15"/>
        <v>71068.62000000001</v>
      </c>
      <c r="T108" s="135"/>
    </row>
    <row r="109" spans="8:20" x14ac:dyDescent="0.25">
      <c r="H109" s="9"/>
      <c r="I109" s="145">
        <v>5.2999999999999999E-2</v>
      </c>
      <c r="J109" s="94">
        <f t="shared" si="16"/>
        <v>29.9556</v>
      </c>
      <c r="K109" s="94">
        <f t="shared" si="10"/>
        <v>9.5489426681163163</v>
      </c>
      <c r="L109" s="94">
        <f t="shared" si="11"/>
        <v>30.042184371904902</v>
      </c>
      <c r="M109" s="94">
        <f t="shared" si="12"/>
        <v>849.11497559271606</v>
      </c>
      <c r="N109" s="94">
        <f t="shared" si="13"/>
        <v>36787.917156194511</v>
      </c>
      <c r="O109" s="94">
        <f t="shared" si="17"/>
        <v>89.96405543395926</v>
      </c>
      <c r="P109" s="94">
        <f t="shared" si="14"/>
        <v>19.80746408584708</v>
      </c>
      <c r="Q109" s="94">
        <f t="shared" si="18"/>
        <v>71.306870709049491</v>
      </c>
      <c r="R109" s="94">
        <f t="shared" si="19"/>
        <v>64.985120471410539</v>
      </c>
      <c r="S109" s="128">
        <f t="shared" si="15"/>
        <v>71068.62000000001</v>
      </c>
      <c r="T109" s="135"/>
    </row>
    <row r="110" spans="8:20" x14ac:dyDescent="0.25">
      <c r="H110" s="9"/>
      <c r="I110" s="145">
        <v>5.3499999999999999E-2</v>
      </c>
      <c r="J110" s="94">
        <f t="shared" si="16"/>
        <v>30.238200000000003</v>
      </c>
      <c r="K110" s="94">
        <f t="shared" si="10"/>
        <v>9.6391983538388661</v>
      </c>
      <c r="L110" s="94">
        <f t="shared" si="11"/>
        <v>30.042985012637704</v>
      </c>
      <c r="M110" s="94">
        <f t="shared" si="12"/>
        <v>861.43489091355571</v>
      </c>
      <c r="N110" s="94">
        <f t="shared" si="13"/>
        <v>37321.677644729076</v>
      </c>
      <c r="O110" s="94">
        <f t="shared" si="17"/>
        <v>92.129569004105178</v>
      </c>
      <c r="P110" s="94">
        <f t="shared" si="14"/>
        <v>20.044438023230114</v>
      </c>
      <c r="Q110" s="94">
        <f t="shared" si="18"/>
        <v>72.159976883628403</v>
      </c>
      <c r="R110" s="94">
        <f t="shared" si="19"/>
        <v>65.762594044134289</v>
      </c>
      <c r="S110" s="128">
        <f t="shared" si="15"/>
        <v>71068.62000000001</v>
      </c>
      <c r="T110" s="135"/>
    </row>
    <row r="111" spans="8:20" x14ac:dyDescent="0.25">
      <c r="H111" s="9"/>
      <c r="I111" s="145">
        <v>5.3999999999999999E-2</v>
      </c>
      <c r="J111" s="94">
        <f t="shared" si="16"/>
        <v>30.520800000000001</v>
      </c>
      <c r="K111" s="94">
        <f t="shared" si="10"/>
        <v>9.729458872982665</v>
      </c>
      <c r="L111" s="94">
        <f t="shared" si="11"/>
        <v>30.043793207194994</v>
      </c>
      <c r="M111" s="94">
        <f t="shared" si="12"/>
        <v>873.87104123748099</v>
      </c>
      <c r="N111" s="94">
        <f t="shared" si="13"/>
        <v>37860.474016256019</v>
      </c>
      <c r="O111" s="94">
        <f t="shared" si="17"/>
        <v>94.332211397488152</v>
      </c>
      <c r="P111" s="94">
        <f t="shared" si="14"/>
        <v>20.282634878281694</v>
      </c>
      <c r="Q111" s="94">
        <f t="shared" si="18"/>
        <v>73.017485561814098</v>
      </c>
      <c r="R111" s="94">
        <f t="shared" si="19"/>
        <v>66.544079814061718</v>
      </c>
      <c r="S111" s="128">
        <f t="shared" si="15"/>
        <v>71068.62000000001</v>
      </c>
      <c r="T111" s="135"/>
    </row>
    <row r="112" spans="8:20" x14ac:dyDescent="0.25">
      <c r="H112" s="9"/>
      <c r="I112" s="145">
        <v>5.45E-2</v>
      </c>
      <c r="J112" s="94">
        <f t="shared" si="16"/>
        <v>30.803400000000003</v>
      </c>
      <c r="K112" s="94">
        <f t="shared" si="10"/>
        <v>9.8197242710698909</v>
      </c>
      <c r="L112" s="94">
        <f t="shared" si="11"/>
        <v>30.044608956590533</v>
      </c>
      <c r="M112" s="94">
        <f t="shared" si="12"/>
        <v>886.42344216379126</v>
      </c>
      <c r="N112" s="94">
        <f t="shared" si="13"/>
        <v>38404.306946615186</v>
      </c>
      <c r="O112" s="94">
        <f t="shared" si="17"/>
        <v>96.572331296190939</v>
      </c>
      <c r="P112" s="94">
        <f t="shared" si="14"/>
        <v>20.522049116490951</v>
      </c>
      <c r="Q112" s="94">
        <f t="shared" si="18"/>
        <v>73.879376819367423</v>
      </c>
      <c r="R112" s="94">
        <f t="shared" si="19"/>
        <v>67.329559623348175</v>
      </c>
      <c r="S112" s="128">
        <f t="shared" si="15"/>
        <v>71068.62000000001</v>
      </c>
      <c r="T112" s="135"/>
    </row>
    <row r="113" spans="8:20" x14ac:dyDescent="0.25">
      <c r="H113" s="9"/>
      <c r="I113" s="145">
        <v>5.5E-2</v>
      </c>
      <c r="J113" s="94">
        <f t="shared" si="16"/>
        <v>31.086000000000002</v>
      </c>
      <c r="K113" s="94">
        <f t="shared" si="10"/>
        <v>9.909994593632522</v>
      </c>
      <c r="L113" s="94">
        <f t="shared" si="11"/>
        <v>30.045432261847605</v>
      </c>
      <c r="M113" s="94">
        <f t="shared" si="12"/>
        <v>899.09210943834898</v>
      </c>
      <c r="N113" s="94">
        <f t="shared" si="13"/>
        <v>38953.177117996274</v>
      </c>
      <c r="O113" s="94">
        <f t="shared" si="17"/>
        <v>98.850277429422803</v>
      </c>
      <c r="P113" s="94">
        <f t="shared" si="14"/>
        <v>20.762675248781992</v>
      </c>
      <c r="Q113" s="94">
        <f t="shared" si="18"/>
        <v>74.745630895615179</v>
      </c>
      <c r="R113" s="94">
        <f t="shared" si="19"/>
        <v>68.119015463213913</v>
      </c>
      <c r="S113" s="128">
        <f t="shared" si="15"/>
        <v>71068.62000000001</v>
      </c>
      <c r="T113" s="135"/>
    </row>
    <row r="114" spans="8:20" x14ac:dyDescent="0.25">
      <c r="H114" s="9"/>
      <c r="I114" s="145">
        <v>5.5500000000000001E-2</v>
      </c>
      <c r="J114" s="94">
        <f t="shared" si="16"/>
        <v>31.368600000000004</v>
      </c>
      <c r="K114" s="94">
        <f t="shared" si="10"/>
        <v>10.000269886212429</v>
      </c>
      <c r="L114" s="94">
        <f t="shared" si="11"/>
        <v>30.046263123999061</v>
      </c>
      <c r="M114" s="94">
        <f t="shared" si="12"/>
        <v>911.87705895423744</v>
      </c>
      <c r="N114" s="94">
        <f t="shared" si="13"/>
        <v>39507.085218967317</v>
      </c>
      <c r="O114" s="94">
        <f t="shared" si="17"/>
        <v>101.16639857403011</v>
      </c>
      <c r="P114" s="94">
        <f t="shared" si="14"/>
        <v>21.004507832151777</v>
      </c>
      <c r="Q114" s="94">
        <f t="shared" si="18"/>
        <v>75.616228195746402</v>
      </c>
      <c r="R114" s="94">
        <f t="shared" si="19"/>
        <v>68.912429476036834</v>
      </c>
      <c r="S114" s="128">
        <f t="shared" si="15"/>
        <v>71068.62000000001</v>
      </c>
      <c r="T114" s="135"/>
    </row>
    <row r="115" spans="8:20" x14ac:dyDescent="0.25">
      <c r="H115" s="9"/>
      <c r="I115" s="145">
        <v>5.6000000000000001E-2</v>
      </c>
      <c r="J115" s="94">
        <f t="shared" si="16"/>
        <v>31.651200000000003</v>
      </c>
      <c r="K115" s="94">
        <f t="shared" si="10"/>
        <v>10.090550194361466</v>
      </c>
      <c r="L115" s="94">
        <f t="shared" si="11"/>
        <v>30.047101544087283</v>
      </c>
      <c r="M115" s="94">
        <f t="shared" si="12"/>
        <v>924.77830675115774</v>
      </c>
      <c r="N115" s="94">
        <f t="shared" si="13"/>
        <v>40066.031944448572</v>
      </c>
      <c r="O115" s="94">
        <f t="shared" si="17"/>
        <v>103.52104355486975</v>
      </c>
      <c r="P115" s="94">
        <f t="shared" si="14"/>
        <v>21.247541470197174</v>
      </c>
      <c r="Q115" s="94">
        <f t="shared" si="18"/>
        <v>76.491149292709835</v>
      </c>
      <c r="R115" s="94">
        <f t="shared" si="19"/>
        <v>69.709783957081697</v>
      </c>
      <c r="S115" s="128">
        <f t="shared" si="15"/>
        <v>71068.62000000001</v>
      </c>
      <c r="T115" s="135"/>
    </row>
    <row r="116" spans="8:20" x14ac:dyDescent="0.25">
      <c r="H116" s="9"/>
      <c r="I116" s="145">
        <v>5.6500000000000002E-2</v>
      </c>
      <c r="J116" s="94">
        <f t="shared" si="16"/>
        <v>31.933800000000005</v>
      </c>
      <c r="K116" s="94">
        <f t="shared" si="10"/>
        <v>10.180835563641567</v>
      </c>
      <c r="L116" s="94">
        <f t="shared" si="11"/>
        <v>30.047947523164222</v>
      </c>
      <c r="M116" s="94">
        <f t="shared" si="12"/>
        <v>937.79586901608616</v>
      </c>
      <c r="N116" s="94">
        <f t="shared" si="13"/>
        <v>40630.017995740985</v>
      </c>
      <c r="O116" s="94">
        <f t="shared" si="17"/>
        <v>105.91456124532115</v>
      </c>
      <c r="P116" s="94">
        <f t="shared" si="14"/>
        <v>21.491770813567737</v>
      </c>
      <c r="Q116" s="94">
        <f t="shared" si="18"/>
        <v>77.370374928843859</v>
      </c>
      <c r="R116" s="94">
        <f t="shared" si="19"/>
        <v>70.511061355985575</v>
      </c>
      <c r="S116" s="128">
        <f t="shared" si="15"/>
        <v>71068.62000000001</v>
      </c>
      <c r="T116" s="135"/>
    </row>
    <row r="117" spans="8:20" x14ac:dyDescent="0.25">
      <c r="H117" s="9"/>
      <c r="I117" s="145">
        <v>5.7000000000000002E-2</v>
      </c>
      <c r="J117" s="94">
        <f t="shared" si="16"/>
        <v>32.216400000000007</v>
      </c>
      <c r="K117" s="94">
        <f t="shared" si="10"/>
        <v>10.271126039624837</v>
      </c>
      <c r="L117" s="94">
        <f t="shared" si="11"/>
        <v>30.048801062291368</v>
      </c>
      <c r="M117" s="94">
        <f t="shared" si="12"/>
        <v>950.92976208278117</v>
      </c>
      <c r="N117" s="94">
        <f t="shared" si="13"/>
        <v>41199.044080504857</v>
      </c>
      <c r="O117" s="94">
        <f t="shared" si="17"/>
        <v>108.34730056767101</v>
      </c>
      <c r="P117" s="94">
        <f t="shared" si="14"/>
        <v>21.737190560323072</v>
      </c>
      <c r="Q117" s="94">
        <f t="shared" si="18"/>
        <v>78.253886017163055</v>
      </c>
      <c r="R117" s="94">
        <f t="shared" si="19"/>
        <v>71.316244277930352</v>
      </c>
      <c r="S117" s="128">
        <f t="shared" si="15"/>
        <v>71068.62000000001</v>
      </c>
      <c r="T117" s="135"/>
    </row>
    <row r="118" spans="8:20" x14ac:dyDescent="0.25">
      <c r="H118" s="9"/>
      <c r="I118" s="145">
        <v>5.7500000000000002E-2</v>
      </c>
      <c r="J118" s="94">
        <f t="shared" si="16"/>
        <v>32.499000000000002</v>
      </c>
      <c r="K118" s="94">
        <f t="shared" si="10"/>
        <v>10.361421667893641</v>
      </c>
      <c r="L118" s="94">
        <f t="shared" si="11"/>
        <v>30.049662162539779</v>
      </c>
      <c r="M118" s="94">
        <f t="shared" si="12"/>
        <v>964.18000243222139</v>
      </c>
      <c r="N118" s="94">
        <f t="shared" si="13"/>
        <v>41773.110912778793</v>
      </c>
      <c r="O118" s="94">
        <f t="shared" si="17"/>
        <v>110.81961049360197</v>
      </c>
      <c r="P118" s="94">
        <f t="shared" si="14"/>
        <v>21.983795456225202</v>
      </c>
      <c r="Q118" s="94">
        <f t="shared" si="18"/>
        <v>79.141663642410734</v>
      </c>
      <c r="R118" s="94">
        <f t="shared" si="19"/>
        <v>72.125315484601899</v>
      </c>
      <c r="S118" s="128">
        <f t="shared" si="15"/>
        <v>71068.62000000001</v>
      </c>
      <c r="T118" s="135"/>
    </row>
    <row r="119" spans="8:20" x14ac:dyDescent="0.25">
      <c r="H119" s="9"/>
      <c r="I119" s="145">
        <v>5.8000000000000003E-2</v>
      </c>
      <c r="J119" s="94">
        <f t="shared" si="16"/>
        <v>32.781600000000005</v>
      </c>
      <c r="K119" s="94">
        <f t="shared" si="10"/>
        <v>10.451722494040702</v>
      </c>
      <c r="L119" s="94">
        <f t="shared" si="11"/>
        <v>30.050530824990076</v>
      </c>
      <c r="M119" s="94">
        <f t="shared" si="12"/>
        <v>977.54660669255054</v>
      </c>
      <c r="N119" s="94">
        <f t="shared" si="13"/>
        <v>42352.219212977332</v>
      </c>
      <c r="O119" s="94">
        <f t="shared" si="17"/>
        <v>113.33184004462659</v>
      </c>
      <c r="P119" s="94">
        <f t="shared" si="14"/>
        <v>22.231580294955421</v>
      </c>
      <c r="Q119" s="94">
        <f t="shared" si="18"/>
        <v>80.033689061839524</v>
      </c>
      <c r="R119" s="94">
        <f t="shared" si="19"/>
        <v>72.93825789490154</v>
      </c>
      <c r="S119" s="128">
        <f t="shared" si="15"/>
        <v>71068.62000000001</v>
      </c>
      <c r="T119" s="135"/>
    </row>
    <row r="120" spans="8:20" x14ac:dyDescent="0.25">
      <c r="H120" s="9"/>
      <c r="I120" s="145">
        <v>5.8500000000000003E-2</v>
      </c>
      <c r="J120" s="94">
        <f t="shared" si="16"/>
        <v>33.064200000000007</v>
      </c>
      <c r="K120" s="94">
        <f t="shared" si="10"/>
        <v>10.542028563669183</v>
      </c>
      <c r="L120" s="94">
        <f t="shared" si="11"/>
        <v>30.051407050732443</v>
      </c>
      <c r="M120" s="94">
        <f t="shared" si="12"/>
        <v>991.02959163902312</v>
      </c>
      <c r="N120" s="94">
        <f t="shared" si="13"/>
        <v>42936.369707888596</v>
      </c>
      <c r="O120" s="94">
        <f t="shared" si="17"/>
        <v>115.88433829252101</v>
      </c>
      <c r="P120" s="94">
        <f t="shared" si="14"/>
        <v>22.480539918266778</v>
      </c>
      <c r="Q120" s="94">
        <f t="shared" si="18"/>
        <v>80.929943705760408</v>
      </c>
      <c r="R120" s="94">
        <f t="shared" si="19"/>
        <v>73.755054585446373</v>
      </c>
      <c r="S120" s="128">
        <f t="shared" si="15"/>
        <v>71068.62000000001</v>
      </c>
      <c r="T120" s="135"/>
    </row>
    <row r="121" spans="8:20" x14ac:dyDescent="0.25">
      <c r="H121" s="9"/>
      <c r="I121" s="145">
        <v>5.8999999999999997E-2</v>
      </c>
      <c r="J121" s="94">
        <f t="shared" si="16"/>
        <v>33.346800000000002</v>
      </c>
      <c r="K121" s="94">
        <f t="shared" si="10"/>
        <v>10.632339922392797</v>
      </c>
      <c r="L121" s="94">
        <f t="shared" si="11"/>
        <v>30.052290840866629</v>
      </c>
      <c r="M121" s="94">
        <f t="shared" si="12"/>
        <v>1004.6289741941134</v>
      </c>
      <c r="N121" s="94">
        <f t="shared" si="13"/>
        <v>43525.563130679002</v>
      </c>
      <c r="O121" s="94">
        <f t="shared" si="17"/>
        <v>118.47745435977738</v>
      </c>
      <c r="P121" s="94">
        <f t="shared" si="14"/>
        <v>22.730669216079185</v>
      </c>
      <c r="Q121" s="94">
        <f t="shared" si="18"/>
        <v>81.830409177885059</v>
      </c>
      <c r="R121" s="94">
        <f t="shared" si="19"/>
        <v>74.57568879088123</v>
      </c>
      <c r="S121" s="128">
        <f t="shared" si="15"/>
        <v>71068.62000000001</v>
      </c>
      <c r="T121" s="135"/>
    </row>
    <row r="122" spans="8:20" x14ac:dyDescent="0.25">
      <c r="H122" s="9"/>
      <c r="I122" s="145">
        <v>5.9499999999999997E-2</v>
      </c>
      <c r="J122" s="94">
        <f t="shared" si="16"/>
        <v>33.629400000000004</v>
      </c>
      <c r="K122" s="94">
        <f t="shared" si="10"/>
        <v>10.722656615835886</v>
      </c>
      <c r="L122" s="94">
        <f t="shared" si="11"/>
        <v>30.053182196501961</v>
      </c>
      <c r="M122" s="94">
        <f t="shared" si="12"/>
        <v>1018.3447714276798</v>
      </c>
      <c r="N122" s="94">
        <f t="shared" si="13"/>
        <v>44119.800220900368</v>
      </c>
      <c r="O122" s="94">
        <f t="shared" si="17"/>
        <v>121.11153742006341</v>
      </c>
      <c r="P122" s="94">
        <f t="shared" si="14"/>
        <v>22.981963126520633</v>
      </c>
      <c r="Q122" s="94">
        <f t="shared" si="18"/>
        <v>82.735067255474277</v>
      </c>
      <c r="R122" s="94">
        <f t="shared" si="19"/>
        <v>75.400143904013959</v>
      </c>
      <c r="S122" s="128">
        <f t="shared" si="15"/>
        <v>71068.62000000001</v>
      </c>
      <c r="T122" s="135"/>
    </row>
    <row r="123" spans="8:20" x14ac:dyDescent="0.25">
      <c r="H123" s="9"/>
      <c r="I123" s="145">
        <v>0.06</v>
      </c>
      <c r="J123" s="94">
        <f t="shared" si="16"/>
        <v>33.911999999999999</v>
      </c>
      <c r="K123" s="94">
        <f t="shared" si="10"/>
        <v>10.81297868963351</v>
      </c>
      <c r="L123" s="94">
        <f t="shared" si="11"/>
        <v>30.054081118757338</v>
      </c>
      <c r="M123" s="94">
        <f t="shared" si="12"/>
        <v>1032.1770005568551</v>
      </c>
      <c r="N123" s="94">
        <f t="shared" si="13"/>
        <v>44719.081724485201</v>
      </c>
      <c r="O123" s="94">
        <f t="shared" si="17"/>
        <v>123.7869366986499</v>
      </c>
      <c r="P123" s="94">
        <f t="shared" si="14"/>
        <v>23.234416635915206</v>
      </c>
      <c r="Q123" s="94">
        <f t="shared" si="18"/>
        <v>83.643899889294744</v>
      </c>
      <c r="R123" s="94">
        <f t="shared" si="19"/>
        <v>76.228403475776048</v>
      </c>
      <c r="S123" s="128">
        <f t="shared" si="15"/>
        <v>71068.62000000001</v>
      </c>
      <c r="T123" s="135"/>
    </row>
    <row r="124" spans="8:20" x14ac:dyDescent="0.25">
      <c r="H124" s="9"/>
      <c r="I124" s="145">
        <v>6.0499999999999998E-2</v>
      </c>
      <c r="J124" s="94">
        <f t="shared" si="16"/>
        <v>34.194600000000001</v>
      </c>
      <c r="K124" s="94">
        <f t="shared" si="10"/>
        <v>10.903306189431563</v>
      </c>
      <c r="L124" s="94">
        <f t="shared" si="11"/>
        <v>30.054987608761238</v>
      </c>
      <c r="M124" s="94">
        <f t="shared" si="12"/>
        <v>1046.1256789461559</v>
      </c>
      <c r="N124" s="94">
        <f t="shared" si="13"/>
        <v>45323.408393751401</v>
      </c>
      <c r="O124" s="94">
        <f t="shared" si="17"/>
        <v>126.50400147286392</v>
      </c>
      <c r="P124" s="94">
        <f t="shared" si="14"/>
        <v>23.488024778727599</v>
      </c>
      <c r="Q124" s="94">
        <f t="shared" si="18"/>
        <v>84.55688920341936</v>
      </c>
      <c r="R124" s="94">
        <f t="shared" si="19"/>
        <v>77.060451215040658</v>
      </c>
      <c r="S124" s="128">
        <f t="shared" si="15"/>
        <v>71068.62000000001</v>
      </c>
      <c r="T124" s="135"/>
    </row>
    <row r="125" spans="8:20" x14ac:dyDescent="0.25">
      <c r="H125" s="9"/>
      <c r="I125" s="145">
        <v>6.0999999999999999E-2</v>
      </c>
      <c r="J125" s="94">
        <f t="shared" si="16"/>
        <v>34.477200000000003</v>
      </c>
      <c r="K125" s="94">
        <f t="shared" si="10"/>
        <v>10.993639160886829</v>
      </c>
      <c r="L125" s="94">
        <f t="shared" si="11"/>
        <v>30.055901667651721</v>
      </c>
      <c r="M125" s="94">
        <f t="shared" si="12"/>
        <v>1060.1908241075926</v>
      </c>
      <c r="N125" s="94">
        <f t="shared" si="13"/>
        <v>45932.780987407044</v>
      </c>
      <c r="O125" s="94">
        <f t="shared" si="17"/>
        <v>129.26308107254272</v>
      </c>
      <c r="P125" s="94">
        <f t="shared" si="14"/>
        <v>23.742782637465442</v>
      </c>
      <c r="Q125" s="94">
        <f t="shared" si="18"/>
        <v>85.474017494875596</v>
      </c>
      <c r="R125" s="94">
        <f t="shared" si="19"/>
        <v>77.89627098830212</v>
      </c>
      <c r="S125" s="128">
        <f t="shared" si="15"/>
        <v>71068.62000000001</v>
      </c>
      <c r="T125" s="135"/>
    </row>
    <row r="126" spans="8:20" x14ac:dyDescent="0.25">
      <c r="H126" s="9"/>
      <c r="I126" s="145">
        <v>6.1499999999999999E-2</v>
      </c>
      <c r="J126" s="94">
        <f t="shared" si="16"/>
        <v>34.759800000000006</v>
      </c>
      <c r="K126" s="94">
        <f t="shared" si="10"/>
        <v>11.083977649667114</v>
      </c>
      <c r="L126" s="94">
        <f t="shared" si="11"/>
        <v>30.056823296576436</v>
      </c>
      <c r="M126" s="94">
        <f t="shared" si="12"/>
        <v>1074.3724537006681</v>
      </c>
      <c r="N126" s="94">
        <f t="shared" si="13"/>
        <v>46547.200270550318</v>
      </c>
      <c r="O126" s="94">
        <f t="shared" si="17"/>
        <v>132.06452488047438</v>
      </c>
      <c r="P126" s="94">
        <f t="shared" si="14"/>
        <v>23.998685342541833</v>
      </c>
      <c r="Q126" s="94">
        <f t="shared" si="18"/>
        <v>86.395267233150605</v>
      </c>
      <c r="R126" s="94">
        <f t="shared" si="19"/>
        <v>78.735846819224946</v>
      </c>
      <c r="S126" s="128">
        <f t="shared" si="15"/>
        <v>71068.62000000001</v>
      </c>
      <c r="T126" s="135"/>
    </row>
    <row r="127" spans="8:20" x14ac:dyDescent="0.25">
      <c r="H127" s="9"/>
      <c r="I127" s="145">
        <v>6.2E-2</v>
      </c>
      <c r="J127" s="94">
        <f t="shared" si="16"/>
        <v>35.042400000000001</v>
      </c>
      <c r="K127" s="94">
        <f t="shared" si="10"/>
        <v>11.17432170145131</v>
      </c>
      <c r="L127" s="94">
        <f t="shared" si="11"/>
        <v>30.057752496692618</v>
      </c>
      <c r="M127" s="94">
        <f t="shared" si="12"/>
        <v>1088.670585532434</v>
      </c>
      <c r="N127" s="94">
        <f t="shared" si="13"/>
        <v>47166.66701467197</v>
      </c>
      <c r="O127" s="94">
        <f t="shared" si="17"/>
        <v>134.90868233284536</v>
      </c>
      <c r="P127" s="94">
        <f t="shared" si="14"/>
        <v>24.255728072103096</v>
      </c>
      <c r="Q127" s="94">
        <f t="shared" si="18"/>
        <v>87.320621059571138</v>
      </c>
      <c r="R127" s="94">
        <f t="shared" si="19"/>
        <v>79.579162888078727</v>
      </c>
      <c r="S127" s="128">
        <f t="shared" si="15"/>
        <v>71068.62000000001</v>
      </c>
      <c r="T127" s="135"/>
    </row>
    <row r="128" spans="8:20" x14ac:dyDescent="0.25">
      <c r="H128" s="9"/>
      <c r="I128" s="145">
        <v>6.25E-2</v>
      </c>
      <c r="J128" s="94">
        <f t="shared" si="16"/>
        <v>35.325000000000003</v>
      </c>
      <c r="K128" s="94">
        <f t="shared" si="10"/>
        <v>11.264671361929505</v>
      </c>
      <c r="L128" s="94">
        <f t="shared" si="11"/>
        <v>30.058689269167093</v>
      </c>
      <c r="M128" s="94">
        <f t="shared" si="12"/>
        <v>1103.0852375574896</v>
      </c>
      <c r="N128" s="94">
        <f t="shared" si="13"/>
        <v>47791.181997655229</v>
      </c>
      <c r="O128" s="94">
        <f t="shared" si="17"/>
        <v>137.79590291968142</v>
      </c>
      <c r="P128" s="94">
        <f t="shared" si="14"/>
        <v>24.513906051823781</v>
      </c>
      <c r="Q128" s="94">
        <f t="shared" si="18"/>
        <v>88.25006178656561</v>
      </c>
      <c r="R128" s="94">
        <f t="shared" si="19"/>
        <v>80.426203531065539</v>
      </c>
      <c r="S128" s="128">
        <f t="shared" si="15"/>
        <v>71068.62000000001</v>
      </c>
      <c r="T128" s="135"/>
    </row>
    <row r="129" spans="8:20" x14ac:dyDescent="0.25">
      <c r="H129" s="9"/>
      <c r="I129" s="145">
        <v>6.3E-2</v>
      </c>
      <c r="J129" s="94">
        <f t="shared" si="16"/>
        <v>35.607600000000005</v>
      </c>
      <c r="K129" s="94">
        <f t="shared" si="10"/>
        <v>11.355026676803057</v>
      </c>
      <c r="L129" s="94">
        <f t="shared" si="11"/>
        <v>30.059633615176288</v>
      </c>
      <c r="M129" s="94">
        <f t="shared" si="12"/>
        <v>1117.6164278782003</v>
      </c>
      <c r="N129" s="94">
        <f t="shared" si="13"/>
        <v>48420.746003785316</v>
      </c>
      <c r="O129" s="94">
        <f t="shared" si="17"/>
        <v>140.72653618531558</v>
      </c>
      <c r="P129" s="94">
        <f t="shared" si="14"/>
        <v>24.773214554674638</v>
      </c>
      <c r="Q129" s="94">
        <f t="shared" si="18"/>
        <v>89.183572396828694</v>
      </c>
      <c r="R129" s="94">
        <f t="shared" si="19"/>
        <v>81.276953239558736</v>
      </c>
      <c r="S129" s="128">
        <f t="shared" si="15"/>
        <v>71068.62000000001</v>
      </c>
      <c r="T129" s="135"/>
    </row>
    <row r="130" spans="8:20" x14ac:dyDescent="0.25">
      <c r="H130" s="9"/>
      <c r="I130" s="145">
        <v>6.3500000000000001E-2</v>
      </c>
      <c r="J130" s="94">
        <f t="shared" si="16"/>
        <v>35.8902</v>
      </c>
      <c r="K130" s="94">
        <f t="shared" si="10"/>
        <v>11.445387691784717</v>
      </c>
      <c r="L130" s="94">
        <f t="shared" si="11"/>
        <v>30.060585535906231</v>
      </c>
      <c r="M130" s="94">
        <f t="shared" si="12"/>
        <v>1132.2641747446437</v>
      </c>
      <c r="N130" s="94">
        <f t="shared" si="13"/>
        <v>49055.359823747072</v>
      </c>
      <c r="O130" s="94">
        <f t="shared" si="17"/>
        <v>143.70093172882309</v>
      </c>
      <c r="P130" s="94">
        <f t="shared" si="14"/>
        <v>25.03364890066085</v>
      </c>
      <c r="Q130" s="94">
        <f t="shared" si="18"/>
        <v>90.121136042379064</v>
      </c>
      <c r="R130" s="94">
        <f t="shared" si="19"/>
        <v>82.131396659244146</v>
      </c>
      <c r="S130" s="128">
        <f t="shared" si="15"/>
        <v>71068.62000000001</v>
      </c>
      <c r="T130" s="135"/>
    </row>
    <row r="131" spans="8:20" x14ac:dyDescent="0.25">
      <c r="H131" s="9"/>
      <c r="I131" s="145">
        <v>6.4000000000000001E-2</v>
      </c>
      <c r="J131" s="94">
        <f t="shared" si="16"/>
        <v>36.172800000000002</v>
      </c>
      <c r="K131" s="94">
        <f t="shared" si="10"/>
        <v>11.535754452598688</v>
      </c>
      <c r="L131" s="94">
        <f t="shared" si="11"/>
        <v>30.061545032552548</v>
      </c>
      <c r="M131" s="94">
        <f t="shared" si="12"/>
        <v>1147.0284965546102</v>
      </c>
      <c r="N131" s="94">
        <f t="shared" si="13"/>
        <v>49695.024254625008</v>
      </c>
      <c r="O131" s="94">
        <f t="shared" si="17"/>
        <v>146.71943920446259</v>
      </c>
      <c r="P131" s="94">
        <f t="shared" si="14"/>
        <v>25.295204456536609</v>
      </c>
      <c r="Q131" s="94">
        <f t="shared" si="18"/>
        <v>91.062736043531785</v>
      </c>
      <c r="R131" s="94">
        <f t="shared" si="19"/>
        <v>82.989518589183575</v>
      </c>
      <c r="S131" s="128">
        <f t="shared" si="15"/>
        <v>71068.62000000001</v>
      </c>
      <c r="T131" s="135"/>
    </row>
    <row r="132" spans="8:20" x14ac:dyDescent="0.25">
      <c r="H132" s="9"/>
      <c r="I132" s="145">
        <v>6.4500000000000002E-2</v>
      </c>
      <c r="J132" s="94">
        <f t="shared" si="16"/>
        <v>36.455400000000004</v>
      </c>
      <c r="K132" s="94">
        <f t="shared" si="10"/>
        <v>11.626127004980747</v>
      </c>
      <c r="L132" s="94">
        <f t="shared" si="11"/>
        <v>30.062512106320472</v>
      </c>
      <c r="M132" s="94">
        <f t="shared" si="12"/>
        <v>1161.9094118537105</v>
      </c>
      <c r="N132" s="94">
        <f t="shared" si="13"/>
        <v>50339.740099907933</v>
      </c>
      <c r="O132" s="94">
        <f t="shared" si="17"/>
        <v>149.78240832213123</v>
      </c>
      <c r="P132" s="94">
        <f t="shared" si="14"/>
        <v>25.557876635498904</v>
      </c>
      <c r="Q132" s="94">
        <f t="shared" si="18"/>
        <v>92.008355887796057</v>
      </c>
      <c r="R132" s="94">
        <f t="shared" si="19"/>
        <v>83.851303980810229</v>
      </c>
      <c r="S132" s="128">
        <f t="shared" si="15"/>
        <v>71068.62000000001</v>
      </c>
      <c r="T132" s="135"/>
    </row>
    <row r="133" spans="8:20" x14ac:dyDescent="0.25">
      <c r="H133" s="9"/>
      <c r="I133" s="145">
        <v>6.5000000000000002E-2</v>
      </c>
      <c r="J133" s="94">
        <f t="shared" si="16"/>
        <v>36.738000000000007</v>
      </c>
      <c r="K133" s="94">
        <f t="shared" ref="K133:K196" si="20">$C$36/2*TAN(I133)*12</f>
        <v>11.716505394678315</v>
      </c>
      <c r="L133" s="94">
        <f t="shared" ref="L133:L196" si="21">2*($C$36^2/4+(K133/12)^2)^0.5</f>
        <v>30.063486758424858</v>
      </c>
      <c r="M133" s="94">
        <f t="shared" ref="M133:M196" si="22">$C$37+(L133-$C$36)*$C$39*$C$40/$C$36</f>
        <v>1176.9069393355949</v>
      </c>
      <c r="N133" s="94">
        <f t="shared" ref="N133:N196" si="23">M133/$C$39</f>
        <v>50989.508169498491</v>
      </c>
      <c r="O133" s="94">
        <f t="shared" si="17"/>
        <v>152.89018884783445</v>
      </c>
      <c r="P133" s="94">
        <f t="shared" ref="P133:P196" si="24">(4*O133*4.448/(0.5*$C$44*$C$11*1.2))^0.5</f>
        <v>25.821660896862625</v>
      </c>
      <c r="Q133" s="94">
        <f t="shared" si="18"/>
        <v>92.957979228705454</v>
      </c>
      <c r="R133" s="94">
        <f t="shared" si="19"/>
        <v>84.716737936862771</v>
      </c>
      <c r="S133" s="128">
        <f t="shared" ref="S133:S196" si="25">$C$42</f>
        <v>71068.62000000001</v>
      </c>
      <c r="T133" s="135"/>
    </row>
    <row r="134" spans="8:20" x14ac:dyDescent="0.25">
      <c r="H134" s="9"/>
      <c r="I134" s="145">
        <v>6.5500000000000003E-2</v>
      </c>
      <c r="J134" s="94">
        <f t="shared" ref="J134:J197" si="26">180*3.14*I134</f>
        <v>37.020600000000002</v>
      </c>
      <c r="K134" s="94">
        <f t="shared" si="20"/>
        <v>11.806889667450568</v>
      </c>
      <c r="L134" s="94">
        <f t="shared" si="21"/>
        <v>30.064468990090166</v>
      </c>
      <c r="M134" s="94">
        <f t="shared" si="22"/>
        <v>1192.0210978417363</v>
      </c>
      <c r="N134" s="94">
        <f t="shared" si="23"/>
        <v>51644.329279703736</v>
      </c>
      <c r="O134" s="94">
        <f t="shared" ref="O134:O197" si="27">2*M134*SIN(I134)</f>
        <v>156.04313060410021</v>
      </c>
      <c r="P134" s="94">
        <f t="shared" si="24"/>
        <v>26.086552745713067</v>
      </c>
      <c r="Q134" s="94">
        <f t="shared" ref="Q134:Q197" si="28">P134/1000*3600</f>
        <v>93.911589884567036</v>
      </c>
      <c r="R134" s="94">
        <f t="shared" ref="R134:R197" si="29">P134*3.28084</f>
        <v>85.585805710245253</v>
      </c>
      <c r="S134" s="128">
        <f t="shared" si="25"/>
        <v>71068.62000000001</v>
      </c>
      <c r="T134" s="135"/>
    </row>
    <row r="135" spans="8:20" x14ac:dyDescent="0.25">
      <c r="H135" s="9"/>
      <c r="I135" s="145">
        <v>6.6000000000000003E-2</v>
      </c>
      <c r="J135" s="94">
        <f t="shared" si="26"/>
        <v>37.303200000000004</v>
      </c>
      <c r="K135" s="94">
        <f t="shared" si="20"/>
        <v>11.897279869068523</v>
      </c>
      <c r="L135" s="94">
        <f t="shared" si="21"/>
        <v>30.06545880255047</v>
      </c>
      <c r="M135" s="94">
        <f t="shared" si="22"/>
        <v>1207.2519063615371</v>
      </c>
      <c r="N135" s="94">
        <f t="shared" si="23"/>
        <v>52304.204253239768</v>
      </c>
      <c r="O135" s="94">
        <f t="shared" si="27"/>
        <v>159.24158347043405</v>
      </c>
      <c r="P135" s="94">
        <f t="shared" si="24"/>
        <v>26.352547732545844</v>
      </c>
      <c r="Q135" s="94">
        <f t="shared" si="28"/>
        <v>94.869171837165041</v>
      </c>
      <c r="R135" s="94">
        <f t="shared" si="29"/>
        <v>86.458492702845703</v>
      </c>
      <c r="S135" s="128">
        <f t="shared" si="25"/>
        <v>71068.62000000001</v>
      </c>
      <c r="T135" s="135"/>
    </row>
    <row r="136" spans="8:20" x14ac:dyDescent="0.25">
      <c r="H136" s="9"/>
      <c r="I136" s="145">
        <v>6.6500000000000004E-2</v>
      </c>
      <c r="J136" s="94">
        <f t="shared" si="26"/>
        <v>37.585800000000006</v>
      </c>
      <c r="K136" s="94">
        <f t="shared" si="20"/>
        <v>11.987676045315121</v>
      </c>
      <c r="L136" s="94">
        <f t="shared" si="21"/>
        <v>30.066456197049479</v>
      </c>
      <c r="M136" s="94">
        <f t="shared" si="22"/>
        <v>1222.5993840326589</v>
      </c>
      <c r="N136" s="94">
        <f t="shared" si="23"/>
        <v>52969.133919246029</v>
      </c>
      <c r="O136" s="94">
        <f t="shared" si="27"/>
        <v>162.4858973838048</v>
      </c>
      <c r="P136" s="94">
        <f t="shared" si="24"/>
        <v>26.619641452894989</v>
      </c>
      <c r="Q136" s="94">
        <f t="shared" si="28"/>
        <v>95.830709230421959</v>
      </c>
      <c r="R136" s="94">
        <f t="shared" si="29"/>
        <v>87.334784464315987</v>
      </c>
      <c r="S136" s="128">
        <f t="shared" si="25"/>
        <v>71068.62000000001</v>
      </c>
      <c r="T136" s="135"/>
    </row>
    <row r="137" spans="8:20" x14ac:dyDescent="0.25">
      <c r="H137" s="9"/>
      <c r="I137" s="145">
        <v>6.7000000000000004E-2</v>
      </c>
      <c r="J137" s="94">
        <f t="shared" si="26"/>
        <v>37.868400000000008</v>
      </c>
      <c r="K137" s="94">
        <f t="shared" si="20"/>
        <v>12.078078241985345</v>
      </c>
      <c r="L137" s="94">
        <f t="shared" si="21"/>
        <v>30.067461174840524</v>
      </c>
      <c r="M137" s="94">
        <f t="shared" si="22"/>
        <v>1238.0635501408028</v>
      </c>
      <c r="N137" s="94">
        <f t="shared" si="23"/>
        <v>53639.119113275745</v>
      </c>
      <c r="O137" s="94">
        <f t="shared" si="27"/>
        <v>165.77642233905792</v>
      </c>
      <c r="P137" s="94">
        <f t="shared" si="24"/>
        <v>26.887829546942125</v>
      </c>
      <c r="Q137" s="94">
        <f t="shared" si="28"/>
        <v>96.796186368991656</v>
      </c>
      <c r="R137" s="94">
        <f t="shared" si="29"/>
        <v>88.214666690789599</v>
      </c>
      <c r="S137" s="128">
        <f t="shared" si="25"/>
        <v>71068.62000000001</v>
      </c>
      <c r="T137" s="135"/>
    </row>
    <row r="138" spans="8:20" x14ac:dyDescent="0.25">
      <c r="H138" s="9"/>
      <c r="I138" s="145">
        <v>6.7500000000000004E-2</v>
      </c>
      <c r="J138" s="94">
        <f t="shared" si="26"/>
        <v>38.151000000000003</v>
      </c>
      <c r="K138" s="94">
        <f t="shared" si="20"/>
        <v>12.168486504886294</v>
      </c>
      <c r="L138" s="94">
        <f t="shared" si="21"/>
        <v>30.068473737186558</v>
      </c>
      <c r="M138" s="94">
        <f t="shared" si="22"/>
        <v>1253.6444241197648</v>
      </c>
      <c r="N138" s="94">
        <f t="shared" si="23"/>
        <v>54314.160677298401</v>
      </c>
      <c r="O138" s="94">
        <f t="shared" si="27"/>
        <v>169.11350838936505</v>
      </c>
      <c r="P138" s="94">
        <f t="shared" si="24"/>
        <v>27.157107699117486</v>
      </c>
      <c r="Q138" s="94">
        <f t="shared" si="28"/>
        <v>97.765587716822949</v>
      </c>
      <c r="R138" s="94">
        <f t="shared" si="29"/>
        <v>89.098125223572609</v>
      </c>
      <c r="S138" s="128">
        <f t="shared" si="25"/>
        <v>71068.62000000001</v>
      </c>
      <c r="T138" s="135"/>
    </row>
    <row r="139" spans="8:20" x14ac:dyDescent="0.25">
      <c r="H139" s="9"/>
      <c r="I139" s="145">
        <v>6.8000000000000005E-2</v>
      </c>
      <c r="J139" s="94">
        <f t="shared" si="26"/>
        <v>38.433600000000006</v>
      </c>
      <c r="K139" s="94">
        <f t="shared" si="20"/>
        <v>12.25890087983727</v>
      </c>
      <c r="L139" s="94">
        <f t="shared" si="21"/>
        <v>30.069493885360178</v>
      </c>
      <c r="M139" s="94">
        <f t="shared" si="22"/>
        <v>1269.3420255517087</v>
      </c>
      <c r="N139" s="94">
        <f t="shared" si="23"/>
        <v>54994.259459711473</v>
      </c>
      <c r="O139" s="94">
        <f t="shared" si="27"/>
        <v>172.49750564670313</v>
      </c>
      <c r="P139" s="94">
        <f t="shared" si="24"/>
        <v>27.427471637693216</v>
      </c>
      <c r="Q139" s="94">
        <f t="shared" si="28"/>
        <v>98.738897895695573</v>
      </c>
      <c r="R139" s="94">
        <f t="shared" si="29"/>
        <v>89.985146047809408</v>
      </c>
      <c r="S139" s="128">
        <f t="shared" si="25"/>
        <v>71068.62000000001</v>
      </c>
      <c r="T139" s="135"/>
    </row>
    <row r="140" spans="8:20" x14ac:dyDescent="0.25">
      <c r="H140" s="9"/>
      <c r="I140" s="145">
        <v>6.8500000000000005E-2</v>
      </c>
      <c r="J140" s="94">
        <f t="shared" si="26"/>
        <v>38.716200000000008</v>
      </c>
      <c r="K140" s="94">
        <f t="shared" si="20"/>
        <v>12.349321412669903</v>
      </c>
      <c r="L140" s="94">
        <f t="shared" si="21"/>
        <v>30.070521620643618</v>
      </c>
      <c r="M140" s="94">
        <f t="shared" si="22"/>
        <v>1285.1563741671118</v>
      </c>
      <c r="N140" s="94">
        <f t="shared" si="23"/>
        <v>55679.416315338152</v>
      </c>
      <c r="O140" s="94">
        <f t="shared" si="27"/>
        <v>175.92876428228976</v>
      </c>
      <c r="P140" s="94">
        <f t="shared" si="24"/>
        <v>27.698917134364414</v>
      </c>
      <c r="Q140" s="94">
        <f t="shared" si="28"/>
        <v>99.716101683711898</v>
      </c>
      <c r="R140" s="94">
        <f t="shared" si="29"/>
        <v>90.87571529110815</v>
      </c>
      <c r="S140" s="128">
        <f t="shared" si="25"/>
        <v>71068.62000000001</v>
      </c>
      <c r="T140" s="135"/>
    </row>
    <row r="141" spans="8:20" x14ac:dyDescent="0.25">
      <c r="H141" s="9"/>
      <c r="I141" s="145">
        <v>6.9000000000000006E-2</v>
      </c>
      <c r="J141" s="94">
        <f t="shared" si="26"/>
        <v>38.99880000000001</v>
      </c>
      <c r="K141" s="94">
        <f t="shared" si="20"/>
        <v>12.439748149228208</v>
      </c>
      <c r="L141" s="94">
        <f t="shared" si="21"/>
        <v>30.071556944328744</v>
      </c>
      <c r="M141" s="94">
        <f t="shared" si="22"/>
        <v>1301.0874898446555</v>
      </c>
      <c r="N141" s="94">
        <f t="shared" si="23"/>
        <v>56369.632105422555</v>
      </c>
      <c r="O141" s="94">
        <f t="shared" si="27"/>
        <v>179.4076345270114</v>
      </c>
      <c r="P141" s="94">
        <f t="shared" si="24"/>
        <v>27.971440003822106</v>
      </c>
      <c r="Q141" s="94">
        <f t="shared" si="28"/>
        <v>100.69718401375958</v>
      </c>
      <c r="R141" s="94">
        <f t="shared" si="29"/>
        <v>91.769819222139716</v>
      </c>
      <c r="S141" s="128">
        <f t="shared" si="25"/>
        <v>71068.62000000001</v>
      </c>
      <c r="T141" s="135"/>
    </row>
    <row r="142" spans="8:20" x14ac:dyDescent="0.25">
      <c r="H142" s="9"/>
      <c r="I142" s="145">
        <v>6.9500000000000006E-2</v>
      </c>
      <c r="J142" s="94">
        <f t="shared" si="26"/>
        <v>39.281400000000005</v>
      </c>
      <c r="K142" s="94">
        <f t="shared" si="20"/>
        <v>12.530181135368702</v>
      </c>
      <c r="L142" s="94">
        <f t="shared" si="21"/>
        <v>30.07259985771708</v>
      </c>
      <c r="M142" s="94">
        <f t="shared" si="22"/>
        <v>1317.1353926116069</v>
      </c>
      <c r="N142" s="94">
        <f t="shared" si="23"/>
        <v>57064.907697646297</v>
      </c>
      <c r="O142" s="94">
        <f t="shared" si="27"/>
        <v>182.9344666719179</v>
      </c>
      <c r="P142" s="94">
        <f t="shared" si="24"/>
        <v>28.245036103324978</v>
      </c>
      <c r="Q142" s="94">
        <f t="shared" si="28"/>
        <v>101.68212997196993</v>
      </c>
      <c r="R142" s="94">
        <f t="shared" si="29"/>
        <v>92.667444249232716</v>
      </c>
      <c r="S142" s="128">
        <f t="shared" si="25"/>
        <v>71068.62000000001</v>
      </c>
      <c r="T142" s="135"/>
    </row>
    <row r="143" spans="8:20" x14ac:dyDescent="0.25">
      <c r="H143" s="9"/>
      <c r="I143" s="145">
        <v>7.0000000000000007E-2</v>
      </c>
      <c r="J143" s="94">
        <f t="shared" si="26"/>
        <v>39.564000000000007</v>
      </c>
      <c r="K143" s="94">
        <f t="shared" si="20"/>
        <v>12.62062041696049</v>
      </c>
      <c r="L143" s="94">
        <f t="shared" si="21"/>
        <v>30.073650362119789</v>
      </c>
      <c r="M143" s="94">
        <f t="shared" si="22"/>
        <v>1333.3001026436023</v>
      </c>
      <c r="N143" s="94">
        <f t="shared" si="23"/>
        <v>57765.243966119066</v>
      </c>
      <c r="O143" s="94">
        <f t="shared" si="27"/>
        <v>186.50961106863647</v>
      </c>
      <c r="P143" s="94">
        <f t="shared" si="24"/>
        <v>28.519701332259185</v>
      </c>
      <c r="Q143" s="94">
        <f t="shared" si="28"/>
        <v>102.67092479613306</v>
      </c>
      <c r="R143" s="94">
        <f t="shared" si="29"/>
        <v>93.568576918929224</v>
      </c>
      <c r="S143" s="128">
        <f t="shared" si="25"/>
        <v>71068.62000000001</v>
      </c>
      <c r="T143" s="135"/>
    </row>
    <row r="144" spans="8:20" x14ac:dyDescent="0.25">
      <c r="H144" s="9"/>
      <c r="I144" s="145">
        <v>7.0499999999999993E-2</v>
      </c>
      <c r="J144" s="94">
        <f t="shared" si="26"/>
        <v>39.846600000000002</v>
      </c>
      <c r="K144" s="94">
        <f t="shared" si="20"/>
        <v>12.711066039885358</v>
      </c>
      <c r="L144" s="94">
        <f t="shared" si="21"/>
        <v>30.0747084588577</v>
      </c>
      <c r="M144" s="94">
        <f t="shared" si="22"/>
        <v>1349.581640264973</v>
      </c>
      <c r="N144" s="94">
        <f t="shared" si="23"/>
        <v>58470.641791392787</v>
      </c>
      <c r="O144" s="94">
        <f t="shared" si="27"/>
        <v>190.13341812985988</v>
      </c>
      <c r="P144" s="94">
        <f t="shared" si="24"/>
        <v>28.795431631699465</v>
      </c>
      <c r="Q144" s="94">
        <f t="shared" si="28"/>
        <v>103.66355387411807</v>
      </c>
      <c r="R144" s="94">
        <f t="shared" si="29"/>
        <v>94.473203914544868</v>
      </c>
      <c r="S144" s="128">
        <f t="shared" si="25"/>
        <v>71068.62000000001</v>
      </c>
      <c r="T144" s="135"/>
    </row>
    <row r="145" spans="8:20" x14ac:dyDescent="0.25">
      <c r="H145" s="9"/>
      <c r="I145" s="145">
        <v>7.0999999999999994E-2</v>
      </c>
      <c r="J145" s="94">
        <f t="shared" si="26"/>
        <v>40.129199999999997</v>
      </c>
      <c r="K145" s="94">
        <f t="shared" si="20"/>
        <v>12.80151805003787</v>
      </c>
      <c r="L145" s="94">
        <f t="shared" si="21"/>
        <v>30.075774149261285</v>
      </c>
      <c r="M145" s="94">
        <f t="shared" si="22"/>
        <v>1365.9800259484732</v>
      </c>
      <c r="N145" s="94">
        <f t="shared" si="23"/>
        <v>59181.10206044979</v>
      </c>
      <c r="O145" s="94">
        <f t="shared" si="27"/>
        <v>193.80623832975195</v>
      </c>
      <c r="P145" s="94">
        <f t="shared" si="24"/>
        <v>29.072222983960089</v>
      </c>
      <c r="Q145" s="94">
        <f t="shared" si="28"/>
        <v>104.66000274225632</v>
      </c>
      <c r="R145" s="94">
        <f t="shared" si="29"/>
        <v>95.381312054695613</v>
      </c>
      <c r="S145" s="128">
        <f t="shared" si="25"/>
        <v>71068.62000000001</v>
      </c>
      <c r="T145" s="135"/>
    </row>
    <row r="146" spans="8:20" x14ac:dyDescent="0.25">
      <c r="H146" s="9"/>
      <c r="I146" s="145">
        <v>7.1499999999999994E-2</v>
      </c>
      <c r="J146" s="94">
        <f t="shared" si="26"/>
        <v>40.411799999999999</v>
      </c>
      <c r="K146" s="94">
        <f t="shared" si="20"/>
        <v>12.891976493325462</v>
      </c>
      <c r="L146" s="94">
        <f t="shared" si="21"/>
        <v>30.076847434670693</v>
      </c>
      <c r="M146" s="94">
        <f t="shared" si="22"/>
        <v>1382.4952803157171</v>
      </c>
      <c r="N146" s="94">
        <f t="shared" si="23"/>
        <v>59896.625666721775</v>
      </c>
      <c r="O146" s="94">
        <f t="shared" si="27"/>
        <v>197.52842220445262</v>
      </c>
      <c r="P146" s="94">
        <f t="shared" si="24"/>
        <v>29.350071412150491</v>
      </c>
      <c r="Q146" s="94">
        <f t="shared" si="28"/>
        <v>105.66025708374177</v>
      </c>
      <c r="R146" s="94">
        <f t="shared" si="29"/>
        <v>96.292888291839816</v>
      </c>
      <c r="S146" s="128">
        <f t="shared" si="25"/>
        <v>71068.62000000001</v>
      </c>
      <c r="T146" s="135"/>
    </row>
    <row r="147" spans="8:20" x14ac:dyDescent="0.25">
      <c r="H147" s="9"/>
      <c r="I147" s="145">
        <v>7.1999999999999995E-2</v>
      </c>
      <c r="J147" s="94">
        <f t="shared" si="26"/>
        <v>40.694400000000002</v>
      </c>
      <c r="K147" s="94">
        <f t="shared" si="20"/>
        <v>12.982441415668532</v>
      </c>
      <c r="L147" s="94">
        <f t="shared" si="21"/>
        <v>30.077928316435731</v>
      </c>
      <c r="M147" s="94">
        <f t="shared" si="22"/>
        <v>1399.1274241369606</v>
      </c>
      <c r="N147" s="94">
        <f t="shared" si="23"/>
        <v>60617.213510080343</v>
      </c>
      <c r="O147" s="94">
        <f t="shared" si="27"/>
        <v>201.3003203524909</v>
      </c>
      <c r="P147" s="94">
        <f t="shared" si="24"/>
        <v>29.628972979721684</v>
      </c>
      <c r="Q147" s="94">
        <f t="shared" si="28"/>
        <v>106.66430272699807</v>
      </c>
      <c r="R147" s="94">
        <f t="shared" si="29"/>
        <v>97.207919710790094</v>
      </c>
      <c r="S147" s="128">
        <f t="shared" si="25"/>
        <v>71068.62000000001</v>
      </c>
      <c r="T147" s="135"/>
    </row>
    <row r="148" spans="8:20" x14ac:dyDescent="0.25">
      <c r="H148" s="9"/>
      <c r="I148" s="145">
        <v>7.2499999999999995E-2</v>
      </c>
      <c r="J148" s="94">
        <f t="shared" si="26"/>
        <v>40.977000000000004</v>
      </c>
      <c r="K148" s="94">
        <f t="shared" si="20"/>
        <v>13.072912863000532</v>
      </c>
      <c r="L148" s="94">
        <f t="shared" si="21"/>
        <v>30.079016795915869</v>
      </c>
      <c r="M148" s="94">
        <f t="shared" si="22"/>
        <v>1415.8764783311549</v>
      </c>
      <c r="N148" s="94">
        <f t="shared" si="23"/>
        <v>61342.86649683932</v>
      </c>
      <c r="O148" s="94">
        <f t="shared" si="27"/>
        <v>205.12228343523608</v>
      </c>
      <c r="P148" s="94">
        <f t="shared" si="24"/>
        <v>29.90892379001404</v>
      </c>
      <c r="Q148" s="94">
        <f t="shared" si="28"/>
        <v>107.67212564405055</v>
      </c>
      <c r="R148" s="94">
        <f t="shared" si="29"/>
        <v>98.126393527229666</v>
      </c>
      <c r="S148" s="128">
        <f t="shared" si="25"/>
        <v>71068.62000000001</v>
      </c>
      <c r="T148" s="135"/>
    </row>
    <row r="149" spans="8:20" x14ac:dyDescent="0.25">
      <c r="H149" s="9"/>
      <c r="I149" s="145">
        <v>7.2999999999999995E-2</v>
      </c>
      <c r="J149" s="94">
        <f t="shared" si="26"/>
        <v>41.259599999999999</v>
      </c>
      <c r="K149" s="94">
        <f t="shared" si="20"/>
        <v>13.163390881268068</v>
      </c>
      <c r="L149" s="94">
        <f t="shared" si="21"/>
        <v>30.080112874480271</v>
      </c>
      <c r="M149" s="94">
        <f t="shared" si="22"/>
        <v>1432.7424639663845</v>
      </c>
      <c r="N149" s="94">
        <f t="shared" si="23"/>
        <v>62073.585539773747</v>
      </c>
      <c r="O149" s="94">
        <f t="shared" si="27"/>
        <v>208.99466217740508</v>
      </c>
      <c r="P149" s="94">
        <f t="shared" si="24"/>
        <v>30.189919985808231</v>
      </c>
      <c r="Q149" s="94">
        <f t="shared" si="28"/>
        <v>108.68371194890963</v>
      </c>
      <c r="R149" s="94">
        <f t="shared" si="29"/>
        <v>99.048297086239074</v>
      </c>
      <c r="S149" s="128">
        <f t="shared" si="25"/>
        <v>71068.62000000001</v>
      </c>
      <c r="T149" s="135"/>
    </row>
    <row r="150" spans="8:20" x14ac:dyDescent="0.25">
      <c r="H150" s="9"/>
      <c r="I150" s="145">
        <v>7.3499999999999996E-2</v>
      </c>
      <c r="J150" s="94">
        <f t="shared" si="26"/>
        <v>41.542200000000001</v>
      </c>
      <c r="K150" s="94">
        <f t="shared" si="20"/>
        <v>13.253875516430993</v>
      </c>
      <c r="L150" s="94">
        <f t="shared" si="21"/>
        <v>30.081216553507758</v>
      </c>
      <c r="M150" s="94">
        <f t="shared" si="22"/>
        <v>1449.7254022593759</v>
      </c>
      <c r="N150" s="94">
        <f t="shared" si="23"/>
        <v>62809.371558098552</v>
      </c>
      <c r="O150" s="94">
        <f t="shared" si="27"/>
        <v>212.9178073674353</v>
      </c>
      <c r="P150" s="94">
        <f t="shared" si="24"/>
        <v>30.471957748865929</v>
      </c>
      <c r="Q150" s="94">
        <f t="shared" si="28"/>
        <v>109.69904789591735</v>
      </c>
      <c r="R150" s="94">
        <f t="shared" si="29"/>
        <v>99.97361786078929</v>
      </c>
      <c r="S150" s="128">
        <f t="shared" si="25"/>
        <v>71068.62000000001</v>
      </c>
      <c r="T150" s="135"/>
    </row>
    <row r="151" spans="8:20" x14ac:dyDescent="0.25">
      <c r="H151" s="9"/>
      <c r="I151" s="145">
        <v>7.3999999999999996E-2</v>
      </c>
      <c r="J151" s="94">
        <f t="shared" si="26"/>
        <v>41.824800000000003</v>
      </c>
      <c r="K151" s="94">
        <f t="shared" si="20"/>
        <v>13.344366814462504</v>
      </c>
      <c r="L151" s="94">
        <f t="shared" si="21"/>
        <v>30.082327834386849</v>
      </c>
      <c r="M151" s="94">
        <f t="shared" si="22"/>
        <v>1466.8253145760425</v>
      </c>
      <c r="N151" s="94">
        <f t="shared" si="23"/>
        <v>63550.225477492218</v>
      </c>
      <c r="O151" s="94">
        <f t="shared" si="27"/>
        <v>216.89206985800877</v>
      </c>
      <c r="P151" s="94">
        <f t="shared" si="24"/>
        <v>30.755033299481674</v>
      </c>
      <c r="Q151" s="94">
        <f t="shared" si="28"/>
        <v>110.71811987813402</v>
      </c>
      <c r="R151" s="94">
        <f t="shared" si="29"/>
        <v>100.90234345027146</v>
      </c>
      <c r="S151" s="128">
        <f t="shared" si="25"/>
        <v>71068.62000000001</v>
      </c>
      <c r="T151" s="135"/>
    </row>
    <row r="152" spans="8:20" x14ac:dyDescent="0.25">
      <c r="H152" s="9"/>
      <c r="I152" s="145">
        <v>7.4499999999999997E-2</v>
      </c>
      <c r="J152" s="94">
        <f t="shared" si="26"/>
        <v>42.107399999999998</v>
      </c>
      <c r="K152" s="94">
        <f t="shared" si="20"/>
        <v>13.434864821349223</v>
      </c>
      <c r="L152" s="94">
        <f t="shared" si="21"/>
        <v>30.083446718515745</v>
      </c>
      <c r="M152" s="94">
        <f t="shared" si="22"/>
        <v>1484.0422224313229</v>
      </c>
      <c r="N152" s="94">
        <f t="shared" si="23"/>
        <v>64296.148230089733</v>
      </c>
      <c r="O152" s="94">
        <f t="shared" si="27"/>
        <v>220.91780056647261</v>
      </c>
      <c r="P152" s="94">
        <f t="shared" si="24"/>
        <v>31.039142896027869</v>
      </c>
      <c r="Q152" s="94">
        <f t="shared" si="28"/>
        <v>111.74091442570032</v>
      </c>
      <c r="R152" s="94">
        <f t="shared" si="29"/>
        <v>101.83446157900407</v>
      </c>
      <c r="S152" s="128">
        <f t="shared" si="25"/>
        <v>71068.62000000001</v>
      </c>
      <c r="T152" s="135"/>
    </row>
    <row r="153" spans="8:20" x14ac:dyDescent="0.25">
      <c r="H153" s="9"/>
      <c r="I153" s="145">
        <v>7.4999999999999997E-2</v>
      </c>
      <c r="J153" s="94">
        <f t="shared" si="26"/>
        <v>42.39</v>
      </c>
      <c r="K153" s="94">
        <f t="shared" si="20"/>
        <v>13.525369583091308</v>
      </c>
      <c r="L153" s="94">
        <f t="shared" si="21"/>
        <v>30.084573207302338</v>
      </c>
      <c r="M153" s="94">
        <f t="shared" si="22"/>
        <v>1501.3761474892335</v>
      </c>
      <c r="N153" s="94">
        <f t="shared" si="23"/>
        <v>65047.140754484884</v>
      </c>
      <c r="O153" s="94">
        <f t="shared" si="27"/>
        <v>224.99535047529179</v>
      </c>
      <c r="P153" s="94">
        <f t="shared" si="24"/>
        <v>31.324282834503133</v>
      </c>
      <c r="Q153" s="94">
        <f t="shared" si="28"/>
        <v>112.76741820421128</v>
      </c>
      <c r="R153" s="94">
        <f t="shared" si="29"/>
        <v>102.76996009475126</v>
      </c>
      <c r="S153" s="128">
        <f t="shared" si="25"/>
        <v>71068.62000000001</v>
      </c>
      <c r="T153" s="135"/>
    </row>
    <row r="154" spans="8:20" x14ac:dyDescent="0.25">
      <c r="H154" s="9"/>
      <c r="I154" s="145">
        <v>7.5499999999999998E-2</v>
      </c>
      <c r="J154" s="94">
        <f t="shared" si="26"/>
        <v>42.672600000000003</v>
      </c>
      <c r="K154" s="94">
        <f t="shared" si="20"/>
        <v>13.615881145702534</v>
      </c>
      <c r="L154" s="94">
        <f t="shared" si="21"/>
        <v>30.085707302164213</v>
      </c>
      <c r="M154" s="94">
        <f t="shared" si="22"/>
        <v>1518.8271115629786</v>
      </c>
      <c r="N154" s="94">
        <f t="shared" si="23"/>
        <v>65803.203995735021</v>
      </c>
      <c r="O154" s="94">
        <f t="shared" si="27"/>
        <v>229.1250706325101</v>
      </c>
      <c r="P154" s="94">
        <f t="shared" si="24"/>
        <v>31.610449448082726</v>
      </c>
      <c r="Q154" s="94">
        <f t="shared" si="28"/>
        <v>113.7976180130978</v>
      </c>
      <c r="R154" s="94">
        <f t="shared" si="29"/>
        <v>103.70882696724773</v>
      </c>
      <c r="S154" s="128">
        <f t="shared" si="25"/>
        <v>71068.62000000001</v>
      </c>
      <c r="T154" s="135"/>
    </row>
    <row r="155" spans="8:20" x14ac:dyDescent="0.25">
      <c r="H155" s="9"/>
      <c r="I155" s="145">
        <v>7.5999999999999998E-2</v>
      </c>
      <c r="J155" s="94">
        <f t="shared" si="26"/>
        <v>42.955200000000005</v>
      </c>
      <c r="K155" s="94">
        <f t="shared" si="20"/>
        <v>13.706399555210401</v>
      </c>
      <c r="L155" s="94">
        <f t="shared" si="21"/>
        <v>30.086849004528666</v>
      </c>
      <c r="M155" s="94">
        <f t="shared" si="22"/>
        <v>1536.3951366151696</v>
      </c>
      <c r="N155" s="94">
        <f t="shared" si="23"/>
        <v>66564.338905370561</v>
      </c>
      <c r="O155" s="94">
        <f t="shared" si="27"/>
        <v>233.30731215222826</v>
      </c>
      <c r="P155" s="94">
        <f t="shared" si="24"/>
        <v>31.897639106671946</v>
      </c>
      <c r="Q155" s="94">
        <f t="shared" si="28"/>
        <v>114.83150078401901</v>
      </c>
      <c r="R155" s="94">
        <f t="shared" si="29"/>
        <v>104.65105028673359</v>
      </c>
      <c r="S155" s="128">
        <f t="shared" si="25"/>
        <v>71068.62000000001</v>
      </c>
      <c r="T155" s="135"/>
    </row>
    <row r="156" spans="8:20" x14ac:dyDescent="0.25">
      <c r="H156" s="9"/>
      <c r="I156" s="145">
        <v>7.6499999999999999E-2</v>
      </c>
      <c r="J156" s="94">
        <f t="shared" si="26"/>
        <v>43.2378</v>
      </c>
      <c r="K156" s="94">
        <f t="shared" si="20"/>
        <v>13.796924857656212</v>
      </c>
      <c r="L156" s="94">
        <f t="shared" si="21"/>
        <v>30.087998315832682</v>
      </c>
      <c r="M156" s="94">
        <f t="shared" si="22"/>
        <v>1554.0802447574963</v>
      </c>
      <c r="N156" s="94">
        <f t="shared" si="23"/>
        <v>67330.546441380764</v>
      </c>
      <c r="O156" s="94">
        <f t="shared" si="27"/>
        <v>237.54242621499955</v>
      </c>
      <c r="P156" s="94">
        <f t="shared" si="24"/>
        <v>32.185848216455987</v>
      </c>
      <c r="Q156" s="94">
        <f t="shared" si="28"/>
        <v>115.86905357924155</v>
      </c>
      <c r="R156" s="94">
        <f t="shared" si="29"/>
        <v>105.59661826247746</v>
      </c>
      <c r="S156" s="128">
        <f t="shared" si="25"/>
        <v>71068.62000000001</v>
      </c>
      <c r="T156" s="135"/>
    </row>
    <row r="157" spans="8:20" x14ac:dyDescent="0.25">
      <c r="H157" s="9"/>
      <c r="I157" s="145">
        <v>7.6999999999999999E-2</v>
      </c>
      <c r="J157" s="94">
        <f t="shared" si="26"/>
        <v>43.520400000000002</v>
      </c>
      <c r="K157" s="94">
        <f t="shared" si="20"/>
        <v>13.887457099095176</v>
      </c>
      <c r="L157" s="94">
        <f t="shared" si="21"/>
        <v>30.089155237522967</v>
      </c>
      <c r="M157" s="94">
        <f t="shared" si="22"/>
        <v>1571.8824582512736</v>
      </c>
      <c r="N157" s="94">
        <f t="shared" si="23"/>
        <v>68101.827568237379</v>
      </c>
      <c r="O157" s="94">
        <f t="shared" si="27"/>
        <v>241.83076406835778</v>
      </c>
      <c r="P157" s="94">
        <f t="shared" si="24"/>
        <v>32.475073219461386</v>
      </c>
      <c r="Q157" s="94">
        <f t="shared" si="28"/>
        <v>116.91026359006099</v>
      </c>
      <c r="R157" s="94">
        <f t="shared" si="29"/>
        <v>106.5455192213377</v>
      </c>
      <c r="S157" s="128">
        <f t="shared" si="25"/>
        <v>71068.62000000001</v>
      </c>
      <c r="T157" s="135"/>
    </row>
    <row r="158" spans="8:20" x14ac:dyDescent="0.25">
      <c r="H158" s="9"/>
      <c r="I158" s="145">
        <v>7.7499999999999999E-2</v>
      </c>
      <c r="J158" s="94">
        <f t="shared" si="26"/>
        <v>43.803000000000004</v>
      </c>
      <c r="K158" s="94">
        <f t="shared" si="20"/>
        <v>13.977996325596511</v>
      </c>
      <c r="L158" s="94">
        <f t="shared" si="21"/>
        <v>30.090319771055935</v>
      </c>
      <c r="M158" s="94">
        <f t="shared" si="22"/>
        <v>1589.8017995071691</v>
      </c>
      <c r="N158" s="94">
        <f t="shared" si="23"/>
        <v>68878.183256882839</v>
      </c>
      <c r="O158" s="94">
        <f t="shared" si="27"/>
        <v>246.17267702722168</v>
      </c>
      <c r="P158" s="94">
        <f t="shared" si="24"/>
        <v>32.765310593111693</v>
      </c>
      <c r="Q158" s="94">
        <f t="shared" si="28"/>
        <v>117.95511813520208</v>
      </c>
      <c r="R158" s="94">
        <f t="shared" si="29"/>
        <v>107.49774160630456</v>
      </c>
      <c r="S158" s="128">
        <f t="shared" si="25"/>
        <v>71068.62000000001</v>
      </c>
      <c r="T158" s="135"/>
    </row>
    <row r="159" spans="8:20" x14ac:dyDescent="0.25">
      <c r="H159" s="9"/>
      <c r="I159" s="145">
        <v>7.8E-2</v>
      </c>
      <c r="J159" s="94">
        <f t="shared" si="26"/>
        <v>44.085600000000007</v>
      </c>
      <c r="K159" s="94">
        <f t="shared" si="20"/>
        <v>14.068542583243515</v>
      </c>
      <c r="L159" s="94">
        <f t="shared" si="21"/>
        <v>30.09149191789772</v>
      </c>
      <c r="M159" s="94">
        <f t="shared" si="22"/>
        <v>1607.83829108542</v>
      </c>
      <c r="N159" s="94">
        <f t="shared" si="23"/>
        <v>69659.614484739737</v>
      </c>
      <c r="O159" s="94">
        <f t="shared" si="27"/>
        <v>250.56851647437372</v>
      </c>
      <c r="P159" s="94">
        <f t="shared" si="24"/>
        <v>33.056556849791257</v>
      </c>
      <c r="Q159" s="94">
        <f t="shared" si="28"/>
        <v>119.00360465924854</v>
      </c>
      <c r="R159" s="94">
        <f t="shared" si="29"/>
        <v>108.45327397506915</v>
      </c>
      <c r="S159" s="128">
        <f t="shared" si="25"/>
        <v>71068.62000000001</v>
      </c>
      <c r="T159" s="135"/>
    </row>
    <row r="160" spans="8:20" x14ac:dyDescent="0.25">
      <c r="H160" s="9"/>
      <c r="I160" s="145">
        <v>7.85E-2</v>
      </c>
      <c r="J160" s="94">
        <f t="shared" si="26"/>
        <v>44.368200000000002</v>
      </c>
      <c r="K160" s="94">
        <f t="shared" si="20"/>
        <v>14.159095918133694</v>
      </c>
      <c r="L160" s="94">
        <f t="shared" si="21"/>
        <v>30.092671679524177</v>
      </c>
      <c r="M160" s="94">
        <f t="shared" si="22"/>
        <v>1625.9919556958348</v>
      </c>
      <c r="N160" s="94">
        <f t="shared" si="23"/>
        <v>70446.122235710805</v>
      </c>
      <c r="O160" s="94">
        <f t="shared" si="27"/>
        <v>255.01863386090631</v>
      </c>
      <c r="P160" s="94">
        <f t="shared" si="24"/>
        <v>33.348808536409983</v>
      </c>
      <c r="Q160" s="94">
        <f t="shared" si="28"/>
        <v>120.05571073107595</v>
      </c>
      <c r="R160" s="94">
        <f t="shared" si="29"/>
        <v>109.41210499859532</v>
      </c>
      <c r="S160" s="128">
        <f t="shared" si="25"/>
        <v>71068.62000000001</v>
      </c>
      <c r="T160" s="135"/>
    </row>
    <row r="161" spans="8:20" x14ac:dyDescent="0.25">
      <c r="H161" s="9"/>
      <c r="I161" s="145">
        <v>7.9000000000000001E-2</v>
      </c>
      <c r="J161" s="94">
        <f t="shared" si="26"/>
        <v>44.650800000000004</v>
      </c>
      <c r="K161" s="94">
        <f t="shared" si="20"/>
        <v>14.249656376378827</v>
      </c>
      <c r="L161" s="94">
        <f t="shared" si="21"/>
        <v>30.093859057420886</v>
      </c>
      <c r="M161" s="94">
        <f t="shared" si="22"/>
        <v>1644.2628161979023</v>
      </c>
      <c r="N161" s="94">
        <f t="shared" si="23"/>
        <v>71237.707500183693</v>
      </c>
      <c r="O161" s="94">
        <f t="shared" si="27"/>
        <v>259.52338070668463</v>
      </c>
      <c r="P161" s="94">
        <f t="shared" si="24"/>
        <v>33.642062233972673</v>
      </c>
      <c r="Q161" s="94">
        <f t="shared" si="28"/>
        <v>121.11142404230164</v>
      </c>
      <c r="R161" s="94">
        <f t="shared" si="29"/>
        <v>110.37422345970691</v>
      </c>
      <c r="S161" s="128">
        <f t="shared" si="25"/>
        <v>71068.62000000001</v>
      </c>
      <c r="T161" s="135"/>
    </row>
    <row r="162" spans="8:20" x14ac:dyDescent="0.25">
      <c r="H162" s="9"/>
      <c r="I162" s="145">
        <v>7.9500000000000001E-2</v>
      </c>
      <c r="J162" s="94">
        <f t="shared" si="26"/>
        <v>44.933400000000006</v>
      </c>
      <c r="K162" s="94">
        <f t="shared" si="20"/>
        <v>14.340224004105071</v>
      </c>
      <c r="L162" s="94">
        <f t="shared" si="21"/>
        <v>30.095054053083167</v>
      </c>
      <c r="M162" s="94">
        <f t="shared" si="22"/>
        <v>1662.6508956009541</v>
      </c>
      <c r="N162" s="94">
        <f t="shared" si="23"/>
        <v>72034.371275037964</v>
      </c>
      <c r="O162" s="94">
        <f t="shared" si="27"/>
        <v>264.08310860081855</v>
      </c>
      <c r="P162" s="94">
        <f t="shared" si="24"/>
        <v>33.93631455715245</v>
      </c>
      <c r="Q162" s="94">
        <f t="shared" si="28"/>
        <v>122.17073240574882</v>
      </c>
      <c r="R162" s="94">
        <f t="shared" si="29"/>
        <v>111.33961825168804</v>
      </c>
      <c r="S162" s="128">
        <f t="shared" si="25"/>
        <v>71068.62000000001</v>
      </c>
      <c r="T162" s="135"/>
    </row>
    <row r="163" spans="8:20" x14ac:dyDescent="0.25">
      <c r="H163" s="9"/>
      <c r="I163" s="145">
        <v>0.08</v>
      </c>
      <c r="J163" s="94">
        <f t="shared" si="26"/>
        <v>45.216000000000001</v>
      </c>
      <c r="K163" s="94">
        <f t="shared" si="20"/>
        <v>14.430798847453058</v>
      </c>
      <c r="L163" s="94">
        <f t="shared" si="21"/>
        <v>30.096256668016064</v>
      </c>
      <c r="M163" s="94">
        <f t="shared" si="22"/>
        <v>1681.1562170639481</v>
      </c>
      <c r="N163" s="94">
        <f t="shared" si="23"/>
        <v>72836.114563635798</v>
      </c>
      <c r="O163" s="94">
        <f t="shared" si="27"/>
        <v>268.69816920207495</v>
      </c>
      <c r="P163" s="94">
        <f t="shared" si="24"/>
        <v>34.231562153864218</v>
      </c>
      <c r="Q163" s="94">
        <f t="shared" si="28"/>
        <v>123.23362375391119</v>
      </c>
      <c r="R163" s="94">
        <f t="shared" si="29"/>
        <v>112.30827837688388</v>
      </c>
      <c r="S163" s="128">
        <f t="shared" si="25"/>
        <v>71068.62000000001</v>
      </c>
      <c r="T163" s="135"/>
    </row>
    <row r="164" spans="8:20" x14ac:dyDescent="0.25">
      <c r="H164" s="9"/>
      <c r="I164" s="145">
        <v>8.0500000000000002E-2</v>
      </c>
      <c r="J164" s="94">
        <f t="shared" si="26"/>
        <v>45.498600000000003</v>
      </c>
      <c r="K164" s="94">
        <f t="shared" si="20"/>
        <v>14.521380952577996</v>
      </c>
      <c r="L164" s="94">
        <f t="shared" si="21"/>
        <v>30.097466903734375</v>
      </c>
      <c r="M164" s="94">
        <f t="shared" si="22"/>
        <v>1699.7788038959593</v>
      </c>
      <c r="N164" s="94">
        <f t="shared" si="23"/>
        <v>73642.93837584315</v>
      </c>
      <c r="O164" s="94">
        <f t="shared" si="27"/>
        <v>273.36891423940187</v>
      </c>
      <c r="P164" s="94">
        <f t="shared" si="24"/>
        <v>34.527801704849125</v>
      </c>
      <c r="Q164" s="94">
        <f t="shared" si="28"/>
        <v>124.30008613745686</v>
      </c>
      <c r="R164" s="94">
        <f t="shared" si="29"/>
        <v>113.28019294533721</v>
      </c>
      <c r="S164" s="128">
        <f t="shared" si="25"/>
        <v>71068.62000000001</v>
      </c>
      <c r="T164" s="135"/>
    </row>
    <row r="165" spans="8:20" x14ac:dyDescent="0.25">
      <c r="H165" s="9"/>
      <c r="I165" s="145">
        <v>8.1000000000000003E-2</v>
      </c>
      <c r="J165" s="94">
        <f t="shared" si="26"/>
        <v>45.781200000000005</v>
      </c>
      <c r="K165" s="94">
        <f t="shared" si="20"/>
        <v>14.611970365649746</v>
      </c>
      <c r="L165" s="94">
        <f t="shared" si="21"/>
        <v>30.098684761762627</v>
      </c>
      <c r="M165" s="94">
        <f t="shared" si="22"/>
        <v>1718.5186795557427</v>
      </c>
      <c r="N165" s="94">
        <f t="shared" si="23"/>
        <v>74454.843728010877</v>
      </c>
      <c r="O165" s="94">
        <f t="shared" si="27"/>
        <v>278.09569551230572</v>
      </c>
      <c r="P165" s="94">
        <f t="shared" si="24"/>
        <v>34.825029923253787</v>
      </c>
      <c r="Q165" s="94">
        <f t="shared" si="28"/>
        <v>125.37010772371363</v>
      </c>
      <c r="R165" s="94">
        <f t="shared" si="29"/>
        <v>114.25535117340796</v>
      </c>
      <c r="S165" s="128">
        <f t="shared" si="25"/>
        <v>71068.62000000001</v>
      </c>
      <c r="T165" s="135"/>
    </row>
    <row r="166" spans="8:20" x14ac:dyDescent="0.25">
      <c r="H166" s="9"/>
      <c r="I166" s="145">
        <v>8.1500000000000003E-2</v>
      </c>
      <c r="J166" s="94">
        <f t="shared" si="26"/>
        <v>46.063800000000008</v>
      </c>
      <c r="K166" s="94">
        <f t="shared" si="20"/>
        <v>14.702567132852934</v>
      </c>
      <c r="L166" s="94">
        <f t="shared" si="21"/>
        <v>30.099910243635115</v>
      </c>
      <c r="M166" s="94">
        <f t="shared" si="22"/>
        <v>1737.3758676523889</v>
      </c>
      <c r="N166" s="94">
        <f t="shared" si="23"/>
        <v>75271.831643003141</v>
      </c>
      <c r="O166" s="94">
        <f t="shared" si="27"/>
        <v>282.87886489140317</v>
      </c>
      <c r="P166" s="94">
        <f t="shared" si="24"/>
        <v>35.123243554224693</v>
      </c>
      <c r="Q166" s="94">
        <f t="shared" si="28"/>
        <v>126.44367679520889</v>
      </c>
      <c r="R166" s="94">
        <f t="shared" si="29"/>
        <v>115.23374238244254</v>
      </c>
      <c r="S166" s="128">
        <f t="shared" si="25"/>
        <v>71068.62000000001</v>
      </c>
      <c r="T166" s="135"/>
    </row>
    <row r="167" spans="8:20" x14ac:dyDescent="0.25">
      <c r="H167" s="9"/>
      <c r="I167" s="145">
        <v>8.2000000000000003E-2</v>
      </c>
      <c r="J167" s="94">
        <f t="shared" si="26"/>
        <v>46.346400000000003</v>
      </c>
      <c r="K167" s="94">
        <f t="shared" si="20"/>
        <v>14.793171300387035</v>
      </c>
      <c r="L167" s="94">
        <f t="shared" si="21"/>
        <v>30.101143350895878</v>
      </c>
      <c r="M167" s="94">
        <f t="shared" si="22"/>
        <v>1756.3503919448872</v>
      </c>
      <c r="N167" s="94">
        <f t="shared" si="23"/>
        <v>76093.903150178448</v>
      </c>
      <c r="O167" s="94">
        <f t="shared" si="27"/>
        <v>287.71877431879835</v>
      </c>
      <c r="P167" s="94">
        <f t="shared" si="24"/>
        <v>35.422439374495838</v>
      </c>
      <c r="Q167" s="94">
        <f t="shared" si="28"/>
        <v>127.52078174818502</v>
      </c>
      <c r="R167" s="94">
        <f t="shared" si="29"/>
        <v>116.21535599742093</v>
      </c>
      <c r="S167" s="128">
        <f t="shared" si="25"/>
        <v>71068.62000000001</v>
      </c>
      <c r="T167" s="135"/>
    </row>
    <row r="168" spans="8:20" x14ac:dyDescent="0.25">
      <c r="H168" s="9"/>
      <c r="I168" s="145">
        <v>8.2500000000000004E-2</v>
      </c>
      <c r="J168" s="94">
        <f t="shared" si="26"/>
        <v>46.629000000000005</v>
      </c>
      <c r="K168" s="94">
        <f t="shared" si="20"/>
        <v>14.883782914466479</v>
      </c>
      <c r="L168" s="94">
        <f t="shared" si="21"/>
        <v>30.102384085098716</v>
      </c>
      <c r="M168" s="94">
        <f t="shared" si="22"/>
        <v>1775.4422763424545</v>
      </c>
      <c r="N168" s="94">
        <f t="shared" si="23"/>
        <v>76921.059285403928</v>
      </c>
      <c r="O168" s="94">
        <f t="shared" si="27"/>
        <v>292.6157758085829</v>
      </c>
      <c r="P168" s="94">
        <f t="shared" si="24"/>
        <v>35.722614191988505</v>
      </c>
      <c r="Q168" s="94">
        <f t="shared" si="28"/>
        <v>128.60141109115864</v>
      </c>
      <c r="R168" s="94">
        <f t="shared" si="29"/>
        <v>117.20018154564357</v>
      </c>
      <c r="S168" s="128">
        <f t="shared" si="25"/>
        <v>71068.62000000001</v>
      </c>
      <c r="T168" s="135"/>
    </row>
    <row r="169" spans="8:20" x14ac:dyDescent="0.25">
      <c r="H169" s="9"/>
      <c r="I169" s="145">
        <v>8.3000000000000004E-2</v>
      </c>
      <c r="J169" s="94">
        <f t="shared" si="26"/>
        <v>46.911600000000007</v>
      </c>
      <c r="K169" s="94">
        <f t="shared" si="20"/>
        <v>14.974402021320738</v>
      </c>
      <c r="L169" s="94">
        <f t="shared" si="21"/>
        <v>30.103632447807197</v>
      </c>
      <c r="M169" s="94">
        <f t="shared" si="22"/>
        <v>1794.6515449045878</v>
      </c>
      <c r="N169" s="94">
        <f t="shared" si="23"/>
        <v>77753.301091057598</v>
      </c>
      <c r="O169" s="94">
        <f t="shared" si="27"/>
        <v>297.57022144729228</v>
      </c>
      <c r="P169" s="94">
        <f t="shared" si="24"/>
        <v>36.023764845412657</v>
      </c>
      <c r="Q169" s="94">
        <f t="shared" si="28"/>
        <v>129.68555344348556</v>
      </c>
      <c r="R169" s="94">
        <f t="shared" si="29"/>
        <v>118.18820865542367</v>
      </c>
      <c r="S169" s="128">
        <f t="shared" si="25"/>
        <v>71068.62000000001</v>
      </c>
      <c r="T169" s="135"/>
    </row>
    <row r="170" spans="8:20" x14ac:dyDescent="0.25">
      <c r="H170" s="9"/>
      <c r="I170" s="145">
        <v>8.3500000000000005E-2</v>
      </c>
      <c r="J170" s="94">
        <f t="shared" si="26"/>
        <v>47.194200000000009</v>
      </c>
      <c r="K170" s="94">
        <f t="shared" si="20"/>
        <v>15.065028667194415</v>
      </c>
      <c r="L170" s="94">
        <f t="shared" si="21"/>
        <v>30.104888440594657</v>
      </c>
      <c r="M170" s="94">
        <f t="shared" si="22"/>
        <v>1813.9782218411206</v>
      </c>
      <c r="N170" s="94">
        <f t="shared" si="23"/>
        <v>78590.629616030797</v>
      </c>
      <c r="O170" s="94">
        <f t="shared" si="27"/>
        <v>302.58246339436289</v>
      </c>
      <c r="P170" s="94">
        <f t="shared" si="24"/>
        <v>36.325888203872893</v>
      </c>
      <c r="Q170" s="94">
        <f t="shared" si="28"/>
        <v>130.77319753394241</v>
      </c>
      <c r="R170" s="94">
        <f t="shared" si="29"/>
        <v>119.17942705479435</v>
      </c>
      <c r="S170" s="128">
        <f t="shared" si="25"/>
        <v>71068.62000000001</v>
      </c>
      <c r="T170" s="135"/>
    </row>
    <row r="171" spans="8:20" x14ac:dyDescent="0.25">
      <c r="H171" s="9"/>
      <c r="I171" s="145">
        <v>8.4000000000000005E-2</v>
      </c>
      <c r="J171" s="94">
        <f t="shared" si="26"/>
        <v>47.476800000000004</v>
      </c>
      <c r="K171" s="94">
        <f t="shared" si="20"/>
        <v>15.155662898347364</v>
      </c>
      <c r="L171" s="94">
        <f t="shared" si="21"/>
        <v>30.106152065044199</v>
      </c>
      <c r="M171" s="94">
        <f t="shared" si="22"/>
        <v>1833.4223315121676</v>
      </c>
      <c r="N171" s="94">
        <f t="shared" si="23"/>
        <v>79433.045915725816</v>
      </c>
      <c r="O171" s="94">
        <f t="shared" si="27"/>
        <v>307.65285388257058</v>
      </c>
      <c r="P171" s="94">
        <f t="shared" si="24"/>
        <v>36.628981166477907</v>
      </c>
      <c r="Q171" s="94">
        <f t="shared" si="28"/>
        <v>131.86433219932047</v>
      </c>
      <c r="R171" s="94">
        <f t="shared" si="29"/>
        <v>120.17382657022738</v>
      </c>
      <c r="S171" s="128">
        <f t="shared" si="25"/>
        <v>71068.62000000001</v>
      </c>
      <c r="T171" s="135"/>
    </row>
    <row r="172" spans="8:20" x14ac:dyDescent="0.25">
      <c r="H172" s="9"/>
      <c r="I172" s="145">
        <v>8.4500000000000006E-2</v>
      </c>
      <c r="J172" s="94">
        <f t="shared" si="26"/>
        <v>47.759400000000007</v>
      </c>
      <c r="K172" s="94">
        <f t="shared" si="20"/>
        <v>15.246304761054752</v>
      </c>
      <c r="L172" s="94">
        <f t="shared" si="21"/>
        <v>30.107423322748716</v>
      </c>
      <c r="M172" s="94">
        <f t="shared" si="22"/>
        <v>1852.9838984284534</v>
      </c>
      <c r="N172" s="94">
        <f t="shared" si="23"/>
        <v>80280.551052070092</v>
      </c>
      <c r="O172" s="94">
        <f t="shared" si="27"/>
        <v>312.78174521853305</v>
      </c>
      <c r="P172" s="94">
        <f t="shared" si="24"/>
        <v>36.933040661958273</v>
      </c>
      <c r="Q172" s="94">
        <f t="shared" si="28"/>
        <v>132.95894638304978</v>
      </c>
      <c r="R172" s="94">
        <f t="shared" si="29"/>
        <v>121.17139712537919</v>
      </c>
      <c r="S172" s="128">
        <f t="shared" si="25"/>
        <v>71068.62000000001</v>
      </c>
      <c r="T172" s="135"/>
    </row>
    <row r="173" spans="8:20" x14ac:dyDescent="0.25">
      <c r="H173" s="9"/>
      <c r="I173" s="145">
        <v>8.5000000000000006E-2</v>
      </c>
      <c r="J173" s="94">
        <f t="shared" si="26"/>
        <v>48.042000000000009</v>
      </c>
      <c r="K173" s="94">
        <f t="shared" si="20"/>
        <v>15.336954301607186</v>
      </c>
      <c r="L173" s="94">
        <f t="shared" si="21"/>
        <v>30.108702215310881</v>
      </c>
      <c r="M173" s="94">
        <f t="shared" si="22"/>
        <v>1872.6629472512566</v>
      </c>
      <c r="N173" s="94">
        <f t="shared" si="23"/>
        <v>81133.14609351386</v>
      </c>
      <c r="O173" s="94">
        <f t="shared" si="27"/>
        <v>317.96948978314941</v>
      </c>
      <c r="P173" s="94">
        <f t="shared" si="24"/>
        <v>37.238063648285127</v>
      </c>
      <c r="Q173" s="94">
        <f t="shared" si="28"/>
        <v>134.05702913382646</v>
      </c>
      <c r="R173" s="94">
        <f t="shared" si="29"/>
        <v>122.17212873983978</v>
      </c>
      <c r="S173" s="128">
        <f t="shared" si="25"/>
        <v>71068.62000000001</v>
      </c>
      <c r="T173" s="135"/>
    </row>
    <row r="174" spans="8:20" x14ac:dyDescent="0.25">
      <c r="H174" s="9"/>
      <c r="I174" s="145">
        <v>8.5500000000000007E-2</v>
      </c>
      <c r="J174" s="94">
        <f t="shared" si="26"/>
        <v>48.324600000000011</v>
      </c>
      <c r="K174" s="94">
        <f t="shared" si="20"/>
        <v>15.427611566310777</v>
      </c>
      <c r="L174" s="94">
        <f t="shared" si="21"/>
        <v>30.109988744343152</v>
      </c>
      <c r="M174" s="94">
        <f t="shared" si="22"/>
        <v>1892.4595027923554</v>
      </c>
      <c r="N174" s="94">
        <f t="shared" si="23"/>
        <v>81990.832115027704</v>
      </c>
      <c r="O174" s="94">
        <f t="shared" si="27"/>
        <v>323.21644003203915</v>
      </c>
      <c r="P174" s="94">
        <f t="shared" si="24"/>
        <v>37.544047112293562</v>
      </c>
      <c r="Q174" s="94">
        <f t="shared" si="28"/>
        <v>135.15856960425683</v>
      </c>
      <c r="R174" s="94">
        <f t="shared" si="29"/>
        <v>123.1760115278972</v>
      </c>
      <c r="S174" s="128">
        <f t="shared" si="25"/>
        <v>71068.62000000001</v>
      </c>
      <c r="T174" s="135"/>
    </row>
    <row r="175" spans="8:20" x14ac:dyDescent="0.25">
      <c r="H175" s="9"/>
      <c r="I175" s="145">
        <v>8.5999999999999993E-2</v>
      </c>
      <c r="J175" s="94">
        <f t="shared" si="26"/>
        <v>48.607199999999999</v>
      </c>
      <c r="K175" s="94">
        <f t="shared" si="20"/>
        <v>15.518276601487269</v>
      </c>
      <c r="L175" s="94">
        <f t="shared" si="21"/>
        <v>30.111282911467786</v>
      </c>
      <c r="M175" s="94">
        <f t="shared" si="22"/>
        <v>1912.373590014357</v>
      </c>
      <c r="N175" s="94">
        <f t="shared" si="23"/>
        <v>82853.610198116919</v>
      </c>
      <c r="O175" s="94">
        <f t="shared" si="27"/>
        <v>328.52294849604596</v>
      </c>
      <c r="P175" s="94">
        <f t="shared" si="24"/>
        <v>37.850988069314418</v>
      </c>
      <c r="Q175" s="94">
        <f t="shared" si="28"/>
        <v>136.2635570495319</v>
      </c>
      <c r="R175" s="94">
        <f t="shared" si="29"/>
        <v>124.18303569732952</v>
      </c>
      <c r="S175" s="128">
        <f t="shared" si="25"/>
        <v>71068.62000000001</v>
      </c>
      <c r="T175" s="135"/>
    </row>
    <row r="176" spans="8:20" x14ac:dyDescent="0.25">
      <c r="H176" s="9"/>
      <c r="I176" s="145">
        <v>8.6499999999999994E-2</v>
      </c>
      <c r="J176" s="94">
        <f t="shared" si="26"/>
        <v>48.889800000000001</v>
      </c>
      <c r="K176" s="94">
        <f t="shared" si="20"/>
        <v>15.608949453474111</v>
      </c>
      <c r="L176" s="94">
        <f t="shared" si="21"/>
        <v>30.112584718316835</v>
      </c>
      <c r="M176" s="94">
        <f t="shared" si="22"/>
        <v>1932.4052340305866</v>
      </c>
      <c r="N176" s="94">
        <f t="shared" si="23"/>
        <v>83721.481430816624</v>
      </c>
      <c r="O176" s="94">
        <f t="shared" si="27"/>
        <v>333.88936778166862</v>
      </c>
      <c r="P176" s="94">
        <f t="shared" si="24"/>
        <v>38.158883562806508</v>
      </c>
      <c r="Q176" s="94">
        <f t="shared" si="28"/>
        <v>137.37198082610342</v>
      </c>
      <c r="R176" s="94">
        <f t="shared" si="29"/>
        <v>125.1931915481981</v>
      </c>
      <c r="S176" s="128">
        <f t="shared" si="25"/>
        <v>71068.62000000001</v>
      </c>
      <c r="T176" s="135"/>
    </row>
    <row r="177" spans="8:20" x14ac:dyDescent="0.25">
      <c r="H177" s="9"/>
      <c r="I177" s="145">
        <v>8.6999999999999994E-2</v>
      </c>
      <c r="J177" s="94">
        <f t="shared" si="26"/>
        <v>49.172400000000003</v>
      </c>
      <c r="K177" s="94">
        <f t="shared" si="20"/>
        <v>15.699630168624559</v>
      </c>
      <c r="L177" s="94">
        <f t="shared" si="21"/>
        <v>30.113894166532159</v>
      </c>
      <c r="M177" s="94">
        <f t="shared" si="22"/>
        <v>1952.5544601052525</v>
      </c>
      <c r="N177" s="94">
        <f t="shared" si="23"/>
        <v>84594.446907698977</v>
      </c>
      <c r="O177" s="94">
        <f t="shared" si="27"/>
        <v>339.31605057153746</v>
      </c>
      <c r="P177" s="94">
        <f t="shared" si="24"/>
        <v>38.467730663996257</v>
      </c>
      <c r="Q177" s="94">
        <f t="shared" si="28"/>
        <v>138.48383039038654</v>
      </c>
      <c r="R177" s="94">
        <f t="shared" si="29"/>
        <v>126.20646947166547</v>
      </c>
      <c r="S177" s="128">
        <f t="shared" si="25"/>
        <v>71068.62000000001</v>
      </c>
      <c r="T177" s="135"/>
    </row>
    <row r="178" spans="8:20" x14ac:dyDescent="0.25">
      <c r="H178" s="9"/>
      <c r="I178" s="145">
        <v>8.7499999999999994E-2</v>
      </c>
      <c r="J178" s="94">
        <f t="shared" si="26"/>
        <v>49.454999999999998</v>
      </c>
      <c r="K178" s="94">
        <f t="shared" si="20"/>
        <v>15.790318793307776</v>
      </c>
      <c r="L178" s="94">
        <f t="shared" si="21"/>
        <v>30.115211257765424</v>
      </c>
      <c r="M178" s="94">
        <f t="shared" si="22"/>
        <v>1972.8212936534994</v>
      </c>
      <c r="N178" s="94">
        <f t="shared" si="23"/>
        <v>85472.507729875448</v>
      </c>
      <c r="O178" s="94">
        <f t="shared" si="27"/>
        <v>344.80334962487302</v>
      </c>
      <c r="P178" s="94">
        <f t="shared" si="24"/>
        <v>38.777526471520908</v>
      </c>
      <c r="Q178" s="94">
        <f t="shared" si="28"/>
        <v>139.59909529747526</v>
      </c>
      <c r="R178" s="94">
        <f t="shared" si="29"/>
        <v>127.22285994882465</v>
      </c>
      <c r="S178" s="128">
        <f t="shared" si="25"/>
        <v>71068.62000000001</v>
      </c>
      <c r="T178" s="135"/>
    </row>
    <row r="179" spans="8:20" x14ac:dyDescent="0.25">
      <c r="H179" s="9"/>
      <c r="I179" s="145">
        <v>8.7999999999999995E-2</v>
      </c>
      <c r="J179" s="94">
        <f t="shared" si="26"/>
        <v>49.7376</v>
      </c>
      <c r="K179" s="94">
        <f t="shared" si="20"/>
        <v>15.881015373908925</v>
      </c>
      <c r="L179" s="94">
        <f t="shared" si="21"/>
        <v>30.116535993678113</v>
      </c>
      <c r="M179" s="94">
        <f t="shared" si="22"/>
        <v>1993.2057602415209</v>
      </c>
      <c r="N179" s="94">
        <f t="shared" si="23"/>
        <v>86355.665005001691</v>
      </c>
      <c r="O179" s="94">
        <f t="shared" si="27"/>
        <v>350.35161777795508</v>
      </c>
      <c r="P179" s="94">
        <f t="shared" si="24"/>
        <v>39.088268111077092</v>
      </c>
      <c r="Q179" s="94">
        <f t="shared" si="28"/>
        <v>140.71776519987753</v>
      </c>
      <c r="R179" s="94">
        <f t="shared" si="29"/>
        <v>128.24235354954615</v>
      </c>
      <c r="S179" s="128">
        <f t="shared" si="25"/>
        <v>71068.62000000001</v>
      </c>
      <c r="T179" s="135"/>
    </row>
    <row r="180" spans="8:20" x14ac:dyDescent="0.25">
      <c r="H180" s="9"/>
      <c r="I180" s="145">
        <v>8.8499999999999995E-2</v>
      </c>
      <c r="J180" s="94">
        <f t="shared" si="26"/>
        <v>50.020200000000003</v>
      </c>
      <c r="K180" s="94">
        <f t="shared" si="20"/>
        <v>15.971719956829256</v>
      </c>
      <c r="L180" s="94">
        <f t="shared" si="21"/>
        <v>30.117868375941519</v>
      </c>
      <c r="M180" s="94">
        <f t="shared" si="22"/>
        <v>2013.7078855864449</v>
      </c>
      <c r="N180" s="94">
        <f t="shared" si="23"/>
        <v>87243.919847272613</v>
      </c>
      <c r="O180" s="94">
        <f t="shared" si="27"/>
        <v>355.96120794455163</v>
      </c>
      <c r="P180" s="94">
        <f t="shared" si="24"/>
        <v>39.3999527350718</v>
      </c>
      <c r="Q180" s="94">
        <f t="shared" si="28"/>
        <v>141.83982984625848</v>
      </c>
      <c r="R180" s="94">
        <f t="shared" si="29"/>
        <v>129.26494093133297</v>
      </c>
      <c r="S180" s="128">
        <f t="shared" si="25"/>
        <v>71068.62000000001</v>
      </c>
      <c r="T180" s="135"/>
    </row>
    <row r="181" spans="8:20" x14ac:dyDescent="0.25">
      <c r="H181" s="9"/>
      <c r="I181" s="145">
        <v>8.8999999999999996E-2</v>
      </c>
      <c r="J181" s="94">
        <f t="shared" si="26"/>
        <v>50.302800000000005</v>
      </c>
      <c r="K181" s="94">
        <f t="shared" si="20"/>
        <v>16.062432588486221</v>
      </c>
      <c r="L181" s="94">
        <f t="shared" si="21"/>
        <v>30.119208406236776</v>
      </c>
      <c r="M181" s="94">
        <f t="shared" si="22"/>
        <v>2034.3276955568303</v>
      </c>
      <c r="N181" s="94">
        <f t="shared" si="23"/>
        <v>88137.273377443838</v>
      </c>
      <c r="O181" s="94">
        <f t="shared" si="27"/>
        <v>361.63247311645648</v>
      </c>
      <c r="P181" s="94">
        <f t="shared" si="24"/>
        <v>39.712577522284079</v>
      </c>
      <c r="Q181" s="94">
        <f t="shared" si="28"/>
        <v>142.96527908022267</v>
      </c>
      <c r="R181" s="94">
        <f t="shared" si="29"/>
        <v>130.29061283821051</v>
      </c>
      <c r="S181" s="128">
        <f t="shared" si="25"/>
        <v>71068.62000000001</v>
      </c>
      <c r="T181" s="135"/>
    </row>
    <row r="182" spans="8:20" x14ac:dyDescent="0.25">
      <c r="H182" s="9"/>
      <c r="I182" s="145">
        <v>8.9499999999999996E-2</v>
      </c>
      <c r="J182" s="94">
        <f t="shared" si="26"/>
        <v>50.5854</v>
      </c>
      <c r="K182" s="94">
        <f t="shared" si="20"/>
        <v>16.15315331531356</v>
      </c>
      <c r="L182" s="94">
        <f t="shared" si="21"/>
        <v>30.12055608625483</v>
      </c>
      <c r="M182" s="94">
        <f t="shared" si="22"/>
        <v>2055.0652161722287</v>
      </c>
      <c r="N182" s="94">
        <f t="shared" si="23"/>
        <v>89035.726722812789</v>
      </c>
      <c r="O182" s="94">
        <f t="shared" si="27"/>
        <v>367.36576636386116</v>
      </c>
      <c r="P182" s="94">
        <f t="shared" si="24"/>
        <v>40.026139677522174</v>
      </c>
      <c r="Q182" s="94">
        <f t="shared" si="28"/>
        <v>144.09410283907982</v>
      </c>
      <c r="R182" s="94">
        <f t="shared" si="29"/>
        <v>131.31936009960185</v>
      </c>
      <c r="S182" s="128">
        <f t="shared" si="25"/>
        <v>71068.62000000001</v>
      </c>
      <c r="T182" s="135"/>
    </row>
    <row r="183" spans="8:20" x14ac:dyDescent="0.25">
      <c r="H183" s="9"/>
      <c r="I183" s="145">
        <v>0.09</v>
      </c>
      <c r="J183" s="94">
        <f t="shared" si="26"/>
        <v>50.868000000000002</v>
      </c>
      <c r="K183" s="94">
        <f t="shared" si="20"/>
        <v>16.243882183761379</v>
      </c>
      <c r="L183" s="94">
        <f t="shared" si="21"/>
        <v>30.121911417696477</v>
      </c>
      <c r="M183" s="94">
        <f t="shared" si="22"/>
        <v>2075.9204736037832</v>
      </c>
      <c r="N183" s="94">
        <f t="shared" si="23"/>
        <v>89939.281017244575</v>
      </c>
      <c r="O183" s="94">
        <f t="shared" si="27"/>
        <v>373.161440835912</v>
      </c>
      <c r="P183" s="94">
        <f t="shared" si="24"/>
        <v>40.340636431295543</v>
      </c>
      <c r="Q183" s="94">
        <f t="shared" si="28"/>
        <v>145.22629115266395</v>
      </c>
      <c r="R183" s="94">
        <f t="shared" si="29"/>
        <v>132.35117362925166</v>
      </c>
      <c r="S183" s="128">
        <f t="shared" si="25"/>
        <v>71068.62000000001</v>
      </c>
      <c r="T183" s="135"/>
    </row>
    <row r="184" spans="8:20" x14ac:dyDescent="0.25">
      <c r="H184" s="9"/>
      <c r="I184" s="145">
        <v>9.0499999999999997E-2</v>
      </c>
      <c r="J184" s="94">
        <f t="shared" si="26"/>
        <v>51.150600000000004</v>
      </c>
      <c r="K184" s="94">
        <f t="shared" si="20"/>
        <v>16.334619240296291</v>
      </c>
      <c r="L184" s="94">
        <f t="shared" si="21"/>
        <v>30.12327440227234</v>
      </c>
      <c r="M184" s="94">
        <f t="shared" si="22"/>
        <v>2096.8934941737944</v>
      </c>
      <c r="N184" s="94">
        <f t="shared" si="23"/>
        <v>90847.937401153191</v>
      </c>
      <c r="O184" s="94">
        <f t="shared" si="27"/>
        <v>379.01984976108253</v>
      </c>
      <c r="P184" s="94">
        <f t="shared" si="24"/>
        <v>40.656065039481298</v>
      </c>
      <c r="Q184" s="94">
        <f t="shared" si="28"/>
        <v>146.36183414213266</v>
      </c>
      <c r="R184" s="94">
        <f t="shared" si="29"/>
        <v>133.38604442413182</v>
      </c>
      <c r="S184" s="128">
        <f t="shared" si="25"/>
        <v>71068.62000000001</v>
      </c>
      <c r="T184" s="135"/>
    </row>
    <row r="185" spans="8:20" x14ac:dyDescent="0.25">
      <c r="H185" s="9"/>
      <c r="I185" s="145">
        <v>9.0999999999999998E-2</v>
      </c>
      <c r="J185" s="94">
        <f t="shared" si="26"/>
        <v>51.433199999999999</v>
      </c>
      <c r="K185" s="94">
        <f t="shared" si="20"/>
        <v>16.425364531401463</v>
      </c>
      <c r="L185" s="94">
        <f t="shared" si="21"/>
        <v>30.124645041702898</v>
      </c>
      <c r="M185" s="94">
        <f t="shared" si="22"/>
        <v>2117.9843043562641</v>
      </c>
      <c r="N185" s="94">
        <f t="shared" si="23"/>
        <v>91761.69702152512</v>
      </c>
      <c r="O185" s="94">
        <f t="shared" si="27"/>
        <v>384.94134644772163</v>
      </c>
      <c r="P185" s="94">
        <f t="shared" si="24"/>
        <v>40.972422783004852</v>
      </c>
      <c r="Q185" s="94">
        <f t="shared" si="28"/>
        <v>147.50072201881747</v>
      </c>
      <c r="R185" s="94">
        <f t="shared" si="29"/>
        <v>134.42396356339364</v>
      </c>
      <c r="S185" s="128">
        <f t="shared" si="25"/>
        <v>71068.62000000001</v>
      </c>
      <c r="T185" s="135"/>
    </row>
    <row r="186" spans="8:20" x14ac:dyDescent="0.25">
      <c r="H186" s="9"/>
      <c r="I186" s="145">
        <v>9.1499999999999998E-2</v>
      </c>
      <c r="J186" s="94">
        <f t="shared" si="26"/>
        <v>51.715800000000002</v>
      </c>
      <c r="K186" s="94">
        <f t="shared" si="20"/>
        <v>16.516118103576744</v>
      </c>
      <c r="L186" s="94">
        <f t="shared" si="21"/>
        <v>30.126023337718475</v>
      </c>
      <c r="M186" s="94">
        <f t="shared" si="22"/>
        <v>2139.1929307766804</v>
      </c>
      <c r="N186" s="94">
        <f t="shared" si="23"/>
        <v>92680.561031909965</v>
      </c>
      <c r="O186" s="94">
        <f t="shared" si="27"/>
        <v>390.92628428446557</v>
      </c>
      <c r="P186" s="94">
        <f t="shared" si="24"/>
        <v>41.289706967517638</v>
      </c>
      <c r="Q186" s="94">
        <f t="shared" si="28"/>
        <v>148.64294508306349</v>
      </c>
      <c r="R186" s="94">
        <f t="shared" si="29"/>
        <v>135.46492220731056</v>
      </c>
      <c r="S186" s="128">
        <f t="shared" si="25"/>
        <v>71068.62000000001</v>
      </c>
      <c r="T186" s="135"/>
    </row>
    <row r="187" spans="8:20" x14ac:dyDescent="0.25">
      <c r="H187" s="9"/>
      <c r="I187" s="145">
        <v>9.1999999999999998E-2</v>
      </c>
      <c r="J187" s="94">
        <f t="shared" si="26"/>
        <v>51.998400000000004</v>
      </c>
      <c r="K187" s="94">
        <f t="shared" si="20"/>
        <v>16.606880003338759</v>
      </c>
      <c r="L187" s="94">
        <f t="shared" si="21"/>
        <v>30.127409292059252</v>
      </c>
      <c r="M187" s="94">
        <f t="shared" si="22"/>
        <v>2160.519400212178</v>
      </c>
      <c r="N187" s="94">
        <f t="shared" si="23"/>
        <v>93604.530592427429</v>
      </c>
      <c r="O187" s="94">
        <f t="shared" si="27"/>
        <v>396.97501674071816</v>
      </c>
      <c r="P187" s="94">
        <f t="shared" si="24"/>
        <v>41.60791492308315</v>
      </c>
      <c r="Q187" s="94">
        <f t="shared" si="28"/>
        <v>149.78849372309932</v>
      </c>
      <c r="R187" s="94">
        <f t="shared" si="29"/>
        <v>136.50891159624811</v>
      </c>
      <c r="S187" s="128">
        <f t="shared" si="25"/>
        <v>71068.62000000001</v>
      </c>
      <c r="T187" s="135"/>
    </row>
    <row r="188" spans="8:20" x14ac:dyDescent="0.25">
      <c r="H188" s="9"/>
      <c r="I188" s="145">
        <v>9.2499999999999999E-2</v>
      </c>
      <c r="J188" s="94">
        <f t="shared" si="26"/>
        <v>52.281000000000006</v>
      </c>
      <c r="K188" s="94">
        <f t="shared" si="20"/>
        <v>16.69765027722098</v>
      </c>
      <c r="L188" s="94">
        <f t="shared" si="21"/>
        <v>30.128802906475268</v>
      </c>
      <c r="M188" s="94">
        <f t="shared" si="22"/>
        <v>2181.963739591647</v>
      </c>
      <c r="N188" s="94">
        <f t="shared" si="23"/>
        <v>94533.606869772033</v>
      </c>
      <c r="O188" s="94">
        <f t="shared" si="27"/>
        <v>403.08789736712134</v>
      </c>
      <c r="P188" s="94">
        <f t="shared" si="24"/>
        <v>41.927044003866762</v>
      </c>
      <c r="Q188" s="94">
        <f t="shared" si="28"/>
        <v>150.93735841392035</v>
      </c>
      <c r="R188" s="94">
        <f t="shared" si="29"/>
        <v>137.55592304964622</v>
      </c>
      <c r="S188" s="128">
        <f t="shared" si="25"/>
        <v>71068.62000000001</v>
      </c>
      <c r="T188" s="135"/>
    </row>
    <row r="189" spans="8:20" x14ac:dyDescent="0.25">
      <c r="H189" s="9"/>
      <c r="I189" s="145">
        <v>9.2999999999999999E-2</v>
      </c>
      <c r="J189" s="94">
        <f t="shared" si="26"/>
        <v>52.563600000000001</v>
      </c>
      <c r="K189" s="94">
        <f t="shared" si="20"/>
        <v>16.788428971773858</v>
      </c>
      <c r="L189" s="94">
        <f t="shared" si="21"/>
        <v>30.130204182726441</v>
      </c>
      <c r="M189" s="94">
        <f t="shared" si="22"/>
        <v>2203.5259759959031</v>
      </c>
      <c r="N189" s="94">
        <f t="shared" si="23"/>
        <v>95467.791037220435</v>
      </c>
      <c r="O189" s="94">
        <f t="shared" si="27"/>
        <v>409.2652797960381</v>
      </c>
      <c r="P189" s="94">
        <f t="shared" si="24"/>
        <v>42.247091587830738</v>
      </c>
      <c r="Q189" s="94">
        <f t="shared" si="28"/>
        <v>152.08952971619064</v>
      </c>
      <c r="R189" s="94">
        <f t="shared" si="29"/>
        <v>138.6059479650186</v>
      </c>
      <c r="S189" s="128">
        <f t="shared" si="25"/>
        <v>71068.62000000001</v>
      </c>
      <c r="T189" s="135"/>
    </row>
    <row r="190" spans="8:20" x14ac:dyDescent="0.25">
      <c r="H190" s="9"/>
      <c r="I190" s="145">
        <v>9.35E-2</v>
      </c>
      <c r="J190" s="94">
        <f t="shared" si="26"/>
        <v>52.846200000000003</v>
      </c>
      <c r="K190" s="94">
        <f t="shared" si="20"/>
        <v>16.879216133564888</v>
      </c>
      <c r="L190" s="94">
        <f t="shared" si="21"/>
        <v>30.131613122582547</v>
      </c>
      <c r="M190" s="94">
        <f t="shared" si="22"/>
        <v>2225.2061366575153</v>
      </c>
      <c r="N190" s="94">
        <f t="shared" si="23"/>
        <v>96407.084274624052</v>
      </c>
      <c r="O190" s="94">
        <f t="shared" si="27"/>
        <v>415.50751774197226</v>
      </c>
      <c r="P190" s="94">
        <f t="shared" si="24"/>
        <v>42.568055076430277</v>
      </c>
      <c r="Q190" s="94">
        <f t="shared" si="28"/>
        <v>153.24499827514902</v>
      </c>
      <c r="R190" s="94">
        <f t="shared" si="29"/>
        <v>139.65897781695551</v>
      </c>
      <c r="S190" s="128">
        <f t="shared" si="25"/>
        <v>71068.62000000001</v>
      </c>
      <c r="T190" s="135"/>
    </row>
    <row r="191" spans="8:20" x14ac:dyDescent="0.25">
      <c r="H191" s="9"/>
      <c r="I191" s="145">
        <v>9.4E-2</v>
      </c>
      <c r="J191" s="94">
        <f t="shared" si="26"/>
        <v>53.128800000000005</v>
      </c>
      <c r="K191" s="94">
        <f t="shared" si="20"/>
        <v>16.970011809178743</v>
      </c>
      <c r="L191" s="94">
        <f t="shared" si="21"/>
        <v>30.133029727823249</v>
      </c>
      <c r="M191" s="94">
        <f t="shared" si="22"/>
        <v>2247.004248961196</v>
      </c>
      <c r="N191" s="94">
        <f t="shared" si="23"/>
        <v>97351.487768425897</v>
      </c>
      <c r="O191" s="94">
        <f t="shared" si="27"/>
        <v>421.81496500209232</v>
      </c>
      <c r="P191" s="94">
        <f t="shared" si="24"/>
        <v>42.889931894319325</v>
      </c>
      <c r="Q191" s="94">
        <f t="shared" si="28"/>
        <v>154.40375481954956</v>
      </c>
      <c r="R191" s="94">
        <f t="shared" si="29"/>
        <v>140.71500415615861</v>
      </c>
      <c r="S191" s="128">
        <f t="shared" si="25"/>
        <v>71068.62000000001</v>
      </c>
      <c r="T191" s="135"/>
    </row>
    <row r="192" spans="8:20" x14ac:dyDescent="0.25">
      <c r="H192" s="9"/>
      <c r="I192" s="145">
        <v>9.4500000000000001E-2</v>
      </c>
      <c r="J192" s="94">
        <f t="shared" si="26"/>
        <v>53.411400000000008</v>
      </c>
      <c r="K192" s="94">
        <f t="shared" si="20"/>
        <v>17.060816045217322</v>
      </c>
      <c r="L192" s="94">
        <f t="shared" si="21"/>
        <v>30.134454000238087</v>
      </c>
      <c r="M192" s="94">
        <f t="shared" si="22"/>
        <v>2268.9203404435766</v>
      </c>
      <c r="N192" s="94">
        <f t="shared" si="23"/>
        <v>98301.002711650872</v>
      </c>
      <c r="O192" s="94">
        <f t="shared" si="27"/>
        <v>428.18797545664165</v>
      </c>
      <c r="P192" s="94">
        <f t="shared" si="24"/>
        <v>43.212719489054827</v>
      </c>
      <c r="Q192" s="94">
        <f t="shared" si="28"/>
        <v>155.56579016059737</v>
      </c>
      <c r="R192" s="94">
        <f t="shared" si="29"/>
        <v>141.77401860847064</v>
      </c>
      <c r="S192" s="128">
        <f t="shared" si="25"/>
        <v>71068.62000000001</v>
      </c>
      <c r="T192" s="135"/>
    </row>
    <row r="193" spans="8:20" x14ac:dyDescent="0.25">
      <c r="H193" s="9"/>
      <c r="I193" s="145">
        <v>9.5000000000000001E-2</v>
      </c>
      <c r="J193" s="94">
        <f t="shared" si="26"/>
        <v>53.694000000000003</v>
      </c>
      <c r="K193" s="94">
        <f t="shared" si="20"/>
        <v>17.151628888299889</v>
      </c>
      <c r="L193" s="94">
        <f t="shared" si="21"/>
        <v>30.135885941626491</v>
      </c>
      <c r="M193" s="94">
        <f t="shared" si="22"/>
        <v>2290.954438793538</v>
      </c>
      <c r="N193" s="94">
        <f t="shared" si="23"/>
        <v>99255.630303920101</v>
      </c>
      <c r="O193" s="94">
        <f t="shared" si="27"/>
        <v>434.62690306945245</v>
      </c>
      <c r="P193" s="94">
        <f t="shared" si="24"/>
        <v>43.53641533081052</v>
      </c>
      <c r="Q193" s="94">
        <f t="shared" si="28"/>
        <v>156.73109519091787</v>
      </c>
      <c r="R193" s="94">
        <f t="shared" si="29"/>
        <v>142.8360128739364</v>
      </c>
      <c r="S193" s="128">
        <f t="shared" si="25"/>
        <v>71068.62000000001</v>
      </c>
      <c r="T193" s="135"/>
    </row>
    <row r="194" spans="8:20" x14ac:dyDescent="0.25">
      <c r="H194" s="9"/>
      <c r="I194" s="145">
        <v>9.5500000000000002E-2</v>
      </c>
      <c r="J194" s="94">
        <f t="shared" si="26"/>
        <v>53.976600000000005</v>
      </c>
      <c r="K194" s="94">
        <f t="shared" si="20"/>
        <v>17.242450385063155</v>
      </c>
      <c r="L194" s="94">
        <f t="shared" si="21"/>
        <v>30.137325553797794</v>
      </c>
      <c r="M194" s="94">
        <f t="shared" si="22"/>
        <v>2313.1065718523209</v>
      </c>
      <c r="N194" s="94">
        <f t="shared" si="23"/>
        <v>100215.37175145571</v>
      </c>
      <c r="O194" s="94">
        <f t="shared" si="27"/>
        <v>441.13210188841919</v>
      </c>
      <c r="P194" s="94">
        <f t="shared" si="24"/>
        <v>43.8610169120929</v>
      </c>
      <c r="Q194" s="94">
        <f t="shared" si="28"/>
        <v>157.89966088353444</v>
      </c>
      <c r="R194" s="94">
        <f t="shared" si="29"/>
        <v>143.90097872587086</v>
      </c>
      <c r="S194" s="128">
        <f t="shared" si="25"/>
        <v>71068.62000000001</v>
      </c>
      <c r="T194" s="135"/>
    </row>
    <row r="195" spans="8:20" x14ac:dyDescent="0.25">
      <c r="H195" s="9"/>
      <c r="I195" s="145">
        <v>9.6000000000000002E-2</v>
      </c>
      <c r="J195" s="94">
        <f t="shared" si="26"/>
        <v>54.259200000000007</v>
      </c>
      <c r="K195" s="94">
        <f t="shared" si="20"/>
        <v>17.333280582161361</v>
      </c>
      <c r="L195" s="94">
        <f t="shared" si="21"/>
        <v>30.138772838571217</v>
      </c>
      <c r="M195" s="94">
        <f t="shared" si="22"/>
        <v>2335.3767676133057</v>
      </c>
      <c r="N195" s="94">
        <f t="shared" si="23"/>
        <v>101180.22826707122</v>
      </c>
      <c r="O195" s="94">
        <f t="shared" si="27"/>
        <v>447.70392604590967</v>
      </c>
      <c r="P195" s="94">
        <f t="shared" si="24"/>
        <v>44.186521747458144</v>
      </c>
      <c r="Q195" s="94">
        <f t="shared" si="28"/>
        <v>159.07147829084931</v>
      </c>
      <c r="R195" s="94">
        <f t="shared" si="29"/>
        <v>144.96890800993057</v>
      </c>
      <c r="S195" s="128">
        <f t="shared" si="25"/>
        <v>71068.62000000001</v>
      </c>
      <c r="T195" s="135"/>
    </row>
    <row r="196" spans="8:20" x14ac:dyDescent="0.25">
      <c r="H196" s="9"/>
      <c r="I196" s="145">
        <v>9.6500000000000002E-2</v>
      </c>
      <c r="J196" s="94">
        <f t="shared" si="26"/>
        <v>54.541800000000009</v>
      </c>
      <c r="K196" s="94">
        <f t="shared" si="20"/>
        <v>17.424119526266402</v>
      </c>
      <c r="L196" s="94">
        <f t="shared" si="21"/>
        <v>30.140227797775893</v>
      </c>
      <c r="M196" s="94">
        <f t="shared" si="22"/>
        <v>2357.7650542223946</v>
      </c>
      <c r="N196" s="94">
        <f t="shared" si="23"/>
        <v>102150.20107018822</v>
      </c>
      <c r="O196" s="94">
        <f t="shared" si="27"/>
        <v>454.34272975928985</v>
      </c>
      <c r="P196" s="94">
        <f t="shared" si="24"/>
        <v>44.512927373238945</v>
      </c>
      <c r="Q196" s="94">
        <f t="shared" si="28"/>
        <v>160.24653854366022</v>
      </c>
      <c r="R196" s="94">
        <f t="shared" si="29"/>
        <v>146.03979264321725</v>
      </c>
      <c r="S196" s="128">
        <f t="shared" si="25"/>
        <v>71068.62000000001</v>
      </c>
      <c r="T196" s="135"/>
    </row>
    <row r="197" spans="8:20" x14ac:dyDescent="0.25">
      <c r="H197" s="9"/>
      <c r="I197" s="145">
        <v>9.7000000000000003E-2</v>
      </c>
      <c r="J197" s="94">
        <f t="shared" si="26"/>
        <v>54.824400000000004</v>
      </c>
      <c r="K197" s="94">
        <f t="shared" ref="K197:K207" si="30">$C$36/2*TAN(I197)*12</f>
        <v>17.514967264067899</v>
      </c>
      <c r="L197" s="94">
        <f t="shared" ref="L197:L207" si="31">2*($C$36^2/4+(K197/12)^2)^0.5</f>
        <v>30.141690433250869</v>
      </c>
      <c r="M197" s="94">
        <f t="shared" ref="M197:M207" si="32">$C$37+(L197-$C$36)*$C$39*$C$40/$C$36</f>
        <v>2380.2714599780684</v>
      </c>
      <c r="N197" s="94">
        <f t="shared" ref="N197:N207" si="33">M197/$C$39</f>
        <v>103125.29138683878</v>
      </c>
      <c r="O197" s="94">
        <f t="shared" si="27"/>
        <v>461.04886733138841</v>
      </c>
      <c r="P197" s="94">
        <f t="shared" ref="P197:P207" si="34">(4*O197*4.448/(0.5*$C$44*$C$11*1.2))^0.5</f>
        <v>44.840231347272265</v>
      </c>
      <c r="Q197" s="94">
        <f t="shared" si="28"/>
        <v>161.42483285018017</v>
      </c>
      <c r="R197" s="94">
        <f t="shared" si="29"/>
        <v>147.11362461338473</v>
      </c>
      <c r="S197" s="128">
        <f t="shared" ref="S197:S207" si="35">$C$42</f>
        <v>71068.62000000001</v>
      </c>
      <c r="T197" s="135"/>
    </row>
    <row r="198" spans="8:20" x14ac:dyDescent="0.25">
      <c r="H198" s="9"/>
      <c r="I198" s="145">
        <v>9.7500000000000003E-2</v>
      </c>
      <c r="J198" s="94">
        <f t="shared" ref="J198:J207" si="36">180*3.14*I198</f>
        <v>55.107000000000006</v>
      </c>
      <c r="K198" s="94">
        <f t="shared" si="30"/>
        <v>17.605823842273324</v>
      </c>
      <c r="L198" s="94">
        <f t="shared" si="31"/>
        <v>30.143160746845101</v>
      </c>
      <c r="M198" s="94">
        <f t="shared" si="32"/>
        <v>2402.8960133312748</v>
      </c>
      <c r="N198" s="94">
        <f t="shared" si="33"/>
        <v>104105.50044966054</v>
      </c>
      <c r="O198" s="94">
        <f t="shared" ref="O198:O207" si="37">2*M198*SIN(I198)</f>
        <v>467.82269315092839</v>
      </c>
      <c r="P198" s="94">
        <f t="shared" si="34"/>
        <v>45.168431248629602</v>
      </c>
      <c r="Q198" s="94">
        <f t="shared" ref="Q198:Q207" si="38">P198/1000*3600</f>
        <v>162.60635249506657</v>
      </c>
      <c r="R198" s="94">
        <f t="shared" ref="R198:R207" si="39">P198*3.28084</f>
        <v>148.19039597775395</v>
      </c>
      <c r="S198" s="128">
        <f t="shared" si="35"/>
        <v>71068.62000000001</v>
      </c>
      <c r="T198" s="135"/>
    </row>
    <row r="199" spans="8:20" x14ac:dyDescent="0.25">
      <c r="H199" s="9"/>
      <c r="I199" s="145">
        <v>9.8000000000000004E-2</v>
      </c>
      <c r="J199" s="94">
        <f t="shared" si="36"/>
        <v>55.389600000000009</v>
      </c>
      <c r="K199" s="94">
        <f t="shared" si="30"/>
        <v>17.696689307608057</v>
      </c>
      <c r="L199" s="94">
        <f t="shared" si="31"/>
        <v>30.144638740417474</v>
      </c>
      <c r="M199" s="94">
        <f t="shared" si="32"/>
        <v>2425.6387428857042</v>
      </c>
      <c r="N199" s="94">
        <f t="shared" si="33"/>
        <v>105090.82949790877</v>
      </c>
      <c r="O199" s="94">
        <f t="shared" si="37"/>
        <v>474.66456169303348</v>
      </c>
      <c r="P199" s="94">
        <f t="shared" si="34"/>
        <v>45.497524677354804</v>
      </c>
      <c r="Q199" s="94">
        <f t="shared" si="38"/>
        <v>163.79108883847729</v>
      </c>
      <c r="R199" s="94">
        <f t="shared" si="39"/>
        <v>149.27009886245273</v>
      </c>
      <c r="S199" s="128">
        <f t="shared" si="35"/>
        <v>71068.62000000001</v>
      </c>
      <c r="T199" s="135"/>
    </row>
    <row r="200" spans="8:20" x14ac:dyDescent="0.25">
      <c r="H200" s="9"/>
      <c r="I200" s="145">
        <v>9.8500000000000004E-2</v>
      </c>
      <c r="J200" s="94">
        <f t="shared" si="36"/>
        <v>55.672200000000004</v>
      </c>
      <c r="K200" s="94">
        <f t="shared" si="30"/>
        <v>17.787563706815533</v>
      </c>
      <c r="L200" s="94">
        <f t="shared" si="31"/>
        <v>30.146124415836802</v>
      </c>
      <c r="M200" s="94">
        <f t="shared" si="32"/>
        <v>2448.499677397896</v>
      </c>
      <c r="N200" s="94">
        <f t="shared" si="33"/>
        <v>106081.27977746089</v>
      </c>
      <c r="O200" s="94">
        <f t="shared" si="37"/>
        <v>481.57482751970309</v>
      </c>
      <c r="P200" s="94">
        <f t="shared" si="34"/>
        <v>45.827509254204294</v>
      </c>
      <c r="Q200" s="94">
        <f t="shared" si="38"/>
        <v>164.97903331513544</v>
      </c>
      <c r="R200" s="94">
        <f t="shared" si="39"/>
        <v>150.35272546156361</v>
      </c>
      <c r="S200" s="128">
        <f t="shared" si="35"/>
        <v>71068.62000000001</v>
      </c>
      <c r="T200" s="135"/>
    </row>
    <row r="201" spans="8:20" x14ac:dyDescent="0.25">
      <c r="H201" s="9"/>
      <c r="I201" s="145">
        <v>9.9000000000000005E-2</v>
      </c>
      <c r="J201" s="94">
        <f t="shared" si="36"/>
        <v>55.954800000000006</v>
      </c>
      <c r="K201" s="94">
        <f t="shared" si="30"/>
        <v>17.878447086657292</v>
      </c>
      <c r="L201" s="94">
        <f t="shared" si="31"/>
        <v>30.147617774981825</v>
      </c>
      <c r="M201" s="94">
        <f t="shared" si="32"/>
        <v>2471.4788457770783</v>
      </c>
      <c r="N201" s="94">
        <f t="shared" si="33"/>
        <v>107076.85254080959</v>
      </c>
      <c r="O201" s="94">
        <f t="shared" si="37"/>
        <v>488.55384528023433</v>
      </c>
      <c r="P201" s="94">
        <f t="shared" si="34"/>
        <v>46.158382620388551</v>
      </c>
      <c r="Q201" s="94">
        <f t="shared" si="38"/>
        <v>166.17017743339878</v>
      </c>
      <c r="R201" s="94">
        <f t="shared" si="39"/>
        <v>151.43826803627556</v>
      </c>
      <c r="S201" s="128">
        <f t="shared" si="35"/>
        <v>71068.62000000001</v>
      </c>
      <c r="T201" s="135"/>
    </row>
    <row r="202" spans="8:20" x14ac:dyDescent="0.25">
      <c r="H202" s="9"/>
      <c r="I202" s="145">
        <v>9.9500000000000005E-2</v>
      </c>
      <c r="J202" s="94">
        <f t="shared" si="36"/>
        <v>56.237400000000008</v>
      </c>
      <c r="K202" s="94">
        <f t="shared" si="30"/>
        <v>17.969339493913118</v>
      </c>
      <c r="L202" s="94">
        <f t="shared" si="31"/>
        <v>30.149118819741236</v>
      </c>
      <c r="M202" s="94">
        <f t="shared" si="32"/>
        <v>2494.5762770856554</v>
      </c>
      <c r="N202" s="94">
        <f t="shared" si="33"/>
        <v>108077.5490470839</v>
      </c>
      <c r="O202" s="94">
        <f t="shared" si="37"/>
        <v>495.60196971177186</v>
      </c>
      <c r="P202" s="94">
        <f t="shared" si="34"/>
        <v>46.490142437323598</v>
      </c>
      <c r="Q202" s="94">
        <f t="shared" si="38"/>
        <v>167.36451277436495</v>
      </c>
      <c r="R202" s="94">
        <f t="shared" si="39"/>
        <v>152.52671891406877</v>
      </c>
      <c r="S202" s="128">
        <f t="shared" si="35"/>
        <v>71068.62000000001</v>
      </c>
      <c r="T202" s="135"/>
    </row>
    <row r="203" spans="8:20" x14ac:dyDescent="0.25">
      <c r="H203" s="9"/>
      <c r="I203" s="145">
        <v>0.1</v>
      </c>
      <c r="J203" s="94">
        <f t="shared" si="36"/>
        <v>56.52000000000001</v>
      </c>
      <c r="K203" s="94">
        <f t="shared" si="30"/>
        <v>18.060240975381099</v>
      </c>
      <c r="L203" s="94">
        <f t="shared" si="31"/>
        <v>30.150627552013663</v>
      </c>
      <c r="M203" s="94">
        <f t="shared" si="32"/>
        <v>2517.7920005388851</v>
      </c>
      <c r="N203" s="94">
        <f t="shared" si="33"/>
        <v>109083.37056203524</v>
      </c>
      <c r="O203" s="94">
        <f t="shared" si="37"/>
        <v>502.71955563969897</v>
      </c>
      <c r="P203" s="94">
        <f t="shared" si="34"/>
        <v>46.822786386378588</v>
      </c>
      <c r="Q203" s="94">
        <f t="shared" si="38"/>
        <v>168.56203099096291</v>
      </c>
      <c r="R203" s="94">
        <f t="shared" si="39"/>
        <v>153.61807048788631</v>
      </c>
      <c r="S203" s="128">
        <f t="shared" si="35"/>
        <v>71068.62000000001</v>
      </c>
      <c r="T203" s="135"/>
    </row>
    <row r="204" spans="8:20" x14ac:dyDescent="0.25">
      <c r="H204" s="9"/>
      <c r="I204" s="145">
        <v>0.10050000000000001</v>
      </c>
      <c r="J204" s="94">
        <f t="shared" si="36"/>
        <v>56.802600000000005</v>
      </c>
      <c r="K204" s="94">
        <f t="shared" si="30"/>
        <v>18.151151577877755</v>
      </c>
      <c r="L204" s="94">
        <f t="shared" si="31"/>
        <v>30.152143973707691</v>
      </c>
      <c r="M204" s="94">
        <f t="shared" si="32"/>
        <v>2541.1260455052557</v>
      </c>
      <c r="N204" s="94">
        <f t="shared" si="33"/>
        <v>110094.31835805374</v>
      </c>
      <c r="O204" s="94">
        <f t="shared" si="37"/>
        <v>509.90695797816647</v>
      </c>
      <c r="P204" s="94">
        <f t="shared" si="34"/>
        <v>47.15631216863369</v>
      </c>
      <c r="Q204" s="94">
        <f t="shared" si="38"/>
        <v>169.76272380708127</v>
      </c>
      <c r="R204" s="94">
        <f t="shared" si="39"/>
        <v>154.71231521534014</v>
      </c>
      <c r="S204" s="128">
        <f t="shared" si="35"/>
        <v>71068.62000000001</v>
      </c>
      <c r="T204" s="135"/>
    </row>
    <row r="205" spans="8:20" x14ac:dyDescent="0.25">
      <c r="H205" s="9"/>
      <c r="I205" s="145">
        <v>0.10100000000000001</v>
      </c>
      <c r="J205" s="94">
        <f t="shared" si="36"/>
        <v>57.085200000000007</v>
      </c>
      <c r="K205" s="94">
        <f t="shared" si="30"/>
        <v>18.242071348238113</v>
      </c>
      <c r="L205" s="94">
        <f t="shared" si="31"/>
        <v>30.153668086741863</v>
      </c>
      <c r="M205" s="94">
        <f t="shared" si="32"/>
        <v>2564.5784415064913</v>
      </c>
      <c r="N205" s="94">
        <f t="shared" si="33"/>
        <v>111110.39371416847</v>
      </c>
      <c r="O205" s="94">
        <f t="shared" si="37"/>
        <v>517.16453173054845</v>
      </c>
      <c r="P205" s="94">
        <f t="shared" si="34"/>
        <v>47.490717504638127</v>
      </c>
      <c r="Q205" s="94">
        <f t="shared" si="38"/>
        <v>170.96658301669726</v>
      </c>
      <c r="R205" s="94">
        <f t="shared" si="39"/>
        <v>155.80944561791696</v>
      </c>
      <c r="S205" s="128">
        <f t="shared" si="35"/>
        <v>71068.62000000001</v>
      </c>
      <c r="T205" s="135"/>
    </row>
    <row r="206" spans="8:20" x14ac:dyDescent="0.25">
      <c r="H206" s="9"/>
      <c r="I206" s="145">
        <v>0.10150000000000001</v>
      </c>
      <c r="J206" s="94">
        <f t="shared" si="36"/>
        <v>57.36780000000001</v>
      </c>
      <c r="K206" s="94">
        <f t="shared" si="30"/>
        <v>18.333000333315827</v>
      </c>
      <c r="L206" s="94">
        <f t="shared" si="31"/>
        <v>30.155199893044685</v>
      </c>
      <c r="M206" s="94">
        <f t="shared" si="32"/>
        <v>2588.149218217603</v>
      </c>
      <c r="N206" s="94">
        <f t="shared" si="33"/>
        <v>112131.59791604968</v>
      </c>
      <c r="O206" s="94">
        <f t="shared" si="37"/>
        <v>524.4926319899082</v>
      </c>
      <c r="P206" s="94">
        <f t="shared" si="34"/>
        <v>47.826000134172325</v>
      </c>
      <c r="Q206" s="94">
        <f t="shared" si="38"/>
        <v>172.17360048302038</v>
      </c>
      <c r="R206" s="94">
        <f t="shared" si="39"/>
        <v>156.90945428019793</v>
      </c>
      <c r="S206" s="128">
        <f t="shared" si="35"/>
        <v>71068.62000000001</v>
      </c>
      <c r="T206" s="135"/>
    </row>
    <row r="207" spans="8:20" ht="15.75" thickBot="1" x14ac:dyDescent="0.3">
      <c r="H207" s="9"/>
      <c r="I207" s="146">
        <v>0.10199999999999999</v>
      </c>
      <c r="J207" s="99">
        <f t="shared" si="36"/>
        <v>57.650399999999998</v>
      </c>
      <c r="K207" s="99">
        <f t="shared" si="30"/>
        <v>18.423938579983258</v>
      </c>
      <c r="L207" s="99">
        <f t="shared" si="31"/>
        <v>30.156739394554631</v>
      </c>
      <c r="M207" s="99">
        <f t="shared" si="32"/>
        <v>2611.8384054669991</v>
      </c>
      <c r="N207" s="99">
        <f t="shared" si="33"/>
        <v>113157.93225601352</v>
      </c>
      <c r="O207" s="99">
        <f t="shared" si="37"/>
        <v>531.89161393947461</v>
      </c>
      <c r="P207" s="99">
        <f t="shared" si="34"/>
        <v>48.162157816014066</v>
      </c>
      <c r="Q207" s="99">
        <f t="shared" si="38"/>
        <v>173.38376813765063</v>
      </c>
      <c r="R207" s="99">
        <f t="shared" si="39"/>
        <v>158.01233384909159</v>
      </c>
      <c r="S207" s="127">
        <f t="shared" si="35"/>
        <v>71068.62000000001</v>
      </c>
      <c r="T207" s="135"/>
    </row>
    <row r="208" spans="8:20" ht="16.5" thickTop="1" thickBot="1" x14ac:dyDescent="0.3">
      <c r="H208" s="138"/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36"/>
      <c r="T208" s="137"/>
    </row>
    <row r="209" ht="15.75" thickTop="1" x14ac:dyDescent="0.25"/>
  </sheetData>
  <mergeCells count="2">
    <mergeCell ref="B2:D2"/>
    <mergeCell ref="I2:S2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Instructions</vt:lpstr>
      <vt:lpstr>User input &amp; design output</vt:lpstr>
      <vt:lpstr>Trellis cost comparison</vt:lpstr>
      <vt:lpstr>Supplies price list</vt:lpstr>
      <vt:lpstr>Strength analysis calculations</vt:lpstr>
      <vt:lpstr>TreeStabilizerType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Travis</dc:creator>
  <cp:lastModifiedBy>ITS Lab</cp:lastModifiedBy>
  <cp:lastPrinted>2016-12-14T13:23:28Z</cp:lastPrinted>
  <dcterms:created xsi:type="dcterms:W3CDTF">2016-10-27T16:01:21Z</dcterms:created>
  <dcterms:modified xsi:type="dcterms:W3CDTF">2017-04-13T14:01:15Z</dcterms:modified>
</cp:coreProperties>
</file>